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YkgAKZeDxlcmx0UCIc8doK+tVM8mzSL+u1YiWxQHBSabbuMaHiXgveemGlwobAqHBtlbLVOAevO/c6H0C4Opzg==" workbookSaltValue="AqwOOiSTlixTV12wwtTTh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AP17" i="20" s="1"/>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R22" i="14" s="1"/>
  <c r="P21" i="14"/>
  <c r="P20" i="14"/>
  <c r="P19" i="14"/>
  <c r="P18" i="14"/>
  <c r="R18" i="14" s="1"/>
  <c r="P17" i="14"/>
  <c r="P16" i="14"/>
  <c r="P12" i="14"/>
  <c r="P11" i="14"/>
  <c r="R11" i="14" s="1"/>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S28" i="14" s="1"/>
  <c r="V28" i="14" s="1"/>
  <c r="Q29" i="14"/>
  <c r="Q25" i="14"/>
  <c r="Q17" i="14"/>
  <c r="Q18" i="14"/>
  <c r="S18" i="14" s="1"/>
  <c r="V18" i="14" s="1"/>
  <c r="Q19" i="14"/>
  <c r="Q21" i="14"/>
  <c r="S21" i="14" s="1"/>
  <c r="V21" i="14" s="1"/>
  <c r="Q22" i="14"/>
  <c r="Q13" i="14"/>
  <c r="S13" i="14" s="1"/>
  <c r="V13" i="14" s="1"/>
  <c r="Q12" i="14"/>
  <c r="Q10" i="14"/>
  <c r="S10" i="14" s="1"/>
  <c r="V10" i="14" s="1"/>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BH30" i="16" s="1"/>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BH9" i="16"/>
  <c r="V16" i="11"/>
  <c r="BF13" i="11"/>
  <c r="BG25" i="11"/>
  <c r="BH16" i="16"/>
  <c r="Q18" i="20"/>
  <c r="Q23" i="20" s="1"/>
  <c r="BF28" i="11"/>
  <c r="BF18" i="11"/>
  <c r="BG20" i="11"/>
  <c r="BG22" i="11"/>
  <c r="BK29" i="11"/>
  <c r="AZ19" i="11"/>
  <c r="S14" i="16"/>
  <c r="V12" i="21"/>
  <c r="P14" i="16"/>
  <c r="F13" i="16"/>
  <c r="Z14" i="17"/>
  <c r="R30" i="17"/>
  <c r="K26" i="2"/>
  <c r="N26" i="2"/>
  <c r="M23" i="2"/>
  <c r="K30" i="2"/>
  <c r="F30" i="17"/>
  <c r="F26" i="17"/>
  <c r="BK11" i="11"/>
  <c r="AZ18" i="11"/>
  <c r="AP10" i="21"/>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L22" i="2"/>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26" i="14"/>
  <c r="S32" i="20"/>
  <c r="AQ32" i="21"/>
  <c r="AJ32" i="20"/>
  <c r="G30" i="14"/>
  <c r="G23" i="14"/>
  <c r="U18" i="11"/>
  <c r="AX32" i="20"/>
  <c r="Y32" i="20"/>
  <c r="L32" i="20"/>
  <c r="AG32" i="20"/>
  <c r="H32" i="20"/>
  <c r="T32" i="21"/>
  <c r="F32" i="20"/>
  <c r="AF32" i="20"/>
  <c r="K32" i="20"/>
  <c r="O17" i="11"/>
  <c r="L17" i="14" l="1"/>
  <c r="BF17" i="8"/>
  <c r="F14" i="7"/>
  <c r="U13" i="16"/>
  <c r="P13" i="14"/>
  <c r="R13" i="17"/>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V20" i="16"/>
  <c r="BU17" i="17"/>
  <c r="S11" i="17"/>
  <c r="BV2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BM12" i="11"/>
  <c r="BI25" i="11"/>
  <c r="V11" i="11"/>
  <c r="BK21" i="11"/>
  <c r="BL12" i="11"/>
  <c r="BF10" i="11"/>
  <c r="BF17" i="11"/>
  <c r="V25" i="11"/>
  <c r="BF21" i="11"/>
  <c r="V11" i="16"/>
  <c r="BM17" i="11"/>
  <c r="BG10" i="11"/>
  <c r="BJ18" i="11"/>
  <c r="BJ22" i="11"/>
  <c r="BL19" i="11"/>
  <c r="I13"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G17" i="13"/>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K9" i="12"/>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I18" i="12"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<sst xmlns="http://schemas.openxmlformats.org/spreadsheetml/2006/main" count="2682" uniqueCount="1193">
  <si>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</si>
  <si>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</si>
  <si>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</si>
  <si>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</si>
  <si>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</si>
  <si>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</si>
  <si>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</si>
  <si>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</si>
  <si>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</si>
  <si>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</si>
  <si>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</si>
  <si>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</si>
  <si>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</si>
  <si>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</si>
  <si>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</si>
  <si>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</si>
  <si>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</si>
  <si>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</si>
  <si>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</si>
  <si>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</si>
  <si>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</si>
  <si>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</si>
  <si>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</si>
  <si>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</si>
  <si>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</si>
  <si>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</si>
  <si>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</si>
  <si>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</si>
  <si>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</si>
  <si>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</si>
  <si>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</si>
  <si>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</si>
  <si>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</si>
  <si>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</si>
  <si>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</si>
  <si>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</si>
  <si>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</si>
  <si>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</si>
  <si>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</si>
  <si>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</si>
  <si>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</si>
  <si>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</si>
  <si>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</si>
  <si>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</si>
  <si>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</si>
  <si>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</si>
  <si>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</si>
  <si>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</si>
  <si>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</si>
  <si>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</si>
  <si>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</si>
  <si>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</si>
  <si>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</si>
  <si>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</si>
  <si>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</si>
  <si>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</si>
  <si>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</si>
  <si>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</si>
  <si>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</si>
  <si>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</si>
  <si>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</si>
  <si>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</si>
  <si>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</si>
  <si>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</si>
  <si>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</si>
  <si>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</si>
  <si>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</si>
  <si>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</si>
  <si>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</si>
  <si>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</si>
  <si>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</si>
  <si>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</si>
  <si>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</si>
  <si>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</si>
  <si>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</si>
  <si>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</si>
  <si>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</si>
  <si>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</si>
  <si>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</si>
  <si>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</si>
  <si>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</si>
  <si>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</si>
  <si>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</si>
  <si>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</si>
  <si>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</si>
  <si>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</si>
  <si>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</si>
  <si>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</si>
  <si>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</si>
  <si>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</si>
  <si>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</si>
  <si>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</si>
  <si>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</si>
  <si>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</si>
  <si>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</si>
  <si>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</si>
  <si>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</si>
  <si>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</si>
  <si>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</si>
  <si>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</si>
  <si>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</si>
  <si>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</si>
  <si>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</si>
  <si>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</si>
  <si>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</si>
  <si>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</si>
  <si>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</si>
  <si>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</si>
  <si>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</si>
  <si>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</si>
  <si>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</si>
  <si>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</si>
  <si>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</si>
  <si>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</si>
  <si>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</si>
  <si>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</si>
  <si>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</si>
  <si>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</si>
  <si>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</si>
  <si>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</si>
  <si>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</si>
  <si>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</si>
  <si>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</si>
  <si>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</si>
  <si>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</si>
  <si>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</si>
  <si>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</si>
  <si>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</si>
  <si>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</si>
  <si>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</si>
  <si>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</si>
  <si>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</si>
  <si>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</si>
  <si>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</si>
  <si>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</si>
  <si>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</si>
  <si>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</si>
  <si>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</si>
  <si>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</si>
  <si>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</si>
  <si>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</si>
  <si>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</si>
  <si>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</si>
  <si>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</si>
  <si>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</si>
  <si>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</si>
  <si>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</si>
  <si>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</si>
  <si>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</si>
  <si>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</si>
  <si>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</si>
  <si>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</si>
  <si>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</si>
  <si>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</si>
  <si>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</si>
  <si>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</si>
  <si>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</si>
  <si>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</si>
  <si>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</si>
  <si>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</si>
  <si>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</si>
  <si>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</si>
  <si>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</si>
  <si>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</si>
  <si>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</si>
  <si>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</si>
  <si>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</si>
  <si>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</si>
  <si>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</si>
  <si>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</si>
  <si>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</si>
  <si>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</si>
  <si>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</si>
  <si>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</si>
  <si>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</si>
  <si>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</si>
  <si>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</si>
  <si>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</si>
  <si>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</si>
  <si>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</si>
  <si>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</si>
  <si>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</si>
  <si>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</si>
  <si>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</si>
  <si>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</si>
  <si>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</si>
  <si>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</si>
  <si>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</si>
  <si>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</si>
  <si>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</si>
  <si>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</si>
  <si>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</si>
  <si>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</si>
  <si>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</si>
  <si>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</si>
  <si>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</si>
  <si>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</si>
  <si>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</si>
  <si>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</si>
  <si>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</si>
  <si>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</si>
  <si>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</si>
  <si>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</si>
  <si>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</si>
  <si>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</si>
  <si>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</si>
  <si>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</si>
  <si>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</si>
  <si>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</si>
  <si>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</si>
  <si>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</si>
  <si>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</si>
  <si>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</si>
  <si>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</si>
  <si>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</si>
  <si>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</si>
  <si>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</si>
  <si>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</si>
  <si>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</si>
  <si>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</si>
  <si>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</si>
  <si>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</si>
  <si>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</si>
  <si>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</si>
  <si>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</si>
  <si>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</si>
  <si>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</si>
  <si>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</si>
  <si>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</si>
  <si>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</si>
  <si>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</si>
  <si>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</si>
  <si>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</si>
  <si>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</si>
  <si>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</si>
  <si>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</si>
  <si>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</si>
  <si>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</si>
  <si>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</si>
  <si>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</si>
  <si>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</si>
  <si>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</si>
  <si>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</si>
  <si>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</si>
  <si>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</si>
  <si>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</si>
  <si>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</si>
  <si>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</si>
  <si>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</si>
  <si>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</si>
  <si>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</si>
  <si>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</si>
  <si>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</si>
  <si>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</si>
  <si>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</si>
  <si>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</si>
  <si>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</si>
  <si>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</si>
  <si>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</si>
  <si>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</si>
  <si>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</si>
  <si>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</si>
  <si>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</si>
  <si>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</si>
  <si>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</si>
  <si>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</si>
  <si>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</si>
  <si>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</si>
  <si>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</si>
  <si>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</si>
  <si>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</si>
  <si>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</si>
  <si>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</si>
  <si>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</si>
  <si>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</si>
  <si>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</si>
  <si>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</si>
  <si>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</si>
  <si>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</si>
  <si>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</si>
  <si>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</si>
  <si>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</si>
  <si>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</si>
  <si>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</si>
  <si>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</si>
  <si>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</si>
  <si>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</si>
  <si>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</si>
  <si>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</si>
  <si>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</si>
  <si>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</si>
  <si>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</si>
  <si>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</si>
  <si>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</si>
  <si>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</si>
  <si>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</si>
  <si>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</si>
  <si>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</si>
  <si>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</si>
  <si>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</si>
  <si>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</si>
  <si>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</si>
  <si>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</si>
  <si>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</si>
  <si>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</si>
  <si>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</si>
  <si>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</si>
  <si>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</si>
  <si>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</si>
  <si>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</si>
  <si>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</si>
  <si>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</si>
  <si>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</si>
  <si>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</si>
  <si>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</si>
  <si>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</si>
  <si>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</si>
  <si>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</si>
  <si>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</si>
  <si>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</si>
  <si>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</si>
  <si>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</si>
  <si>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</si>
  <si>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</si>
  <si>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</si>
  <si>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</si>
  <si>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</si>
  <si>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</si>
  <si>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</si>
  <si>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</si>
  <si>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</si>
  <si>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</si>
  <si>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</si>
  <si>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</si>
  <si>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</si>
  <si>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</si>
  <si>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</si>
  <si>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</si>
  <si>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</si>
  <si>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</si>
  <si>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</si>
  <si>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</si>
  <si>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</si>
  <si>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</si>
  <si>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</si>
  <si>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</si>
  <si>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</si>
  <si>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</si>
  <si>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</si>
  <si>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</si>
  <si>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</si>
  <si>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</si>
  <si>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</si>
  <si>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</si>
  <si>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</si>
  <si>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</si>
  <si>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</si>
  <si>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</si>
  <si>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</si>
  <si>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</si>
  <si>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</si>
  <si>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</si>
  <si>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</si>
  <si>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</si>
  <si>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</si>
  <si>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</si>
  <si>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</si>
  <si>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</si>
  <si>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</si>
  <si>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</si>
  <si>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</si>
  <si>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</si>
  <si>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</si>
  <si>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</si>
  <si>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</si>
  <si>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</si>
  <si>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</si>
  <si>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</si>
  <si>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</si>
  <si>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</si>
  <si>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</si>
  <si>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</si>
  <si>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</si>
  <si>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</si>
  <si>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</si>
  <si>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</si>
  <si>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</si>
  <si>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</si>
  <si>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</si>
  <si>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</si>
  <si>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</si>
  <si>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</si>
  <si>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</si>
  <si>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</si>
  <si>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</si>
  <si>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</si>
  <si>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</si>
  <si>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</si>
  <si>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</si>
  <si>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</si>
  <si>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</si>
  <si>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</si>
  <si>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</si>
  <si>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</si>
  <si>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</si>
  <si>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</si>
  <si>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</si>
  <si>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</si>
  <si>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</si>
  <si>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</si>
  <si>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</si>
  <si>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</si>
  <si>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</si>
  <si>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</si>
  <si>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</si>
  <si>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</si>
  <si>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</si>
  <si>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</si>
  <si>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</si>
  <si>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</si>
  <si>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</si>
  <si>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</si>
  <si>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</si>
  <si>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</si>
  <si>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</si>
  <si>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</si>
  <si>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</si>
  <si>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</si>
  <si>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</si>
  <si>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</si>
  <si>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</si>
  <si>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</si>
  <si>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</si>
  <si>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</si>
  <si>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</si>
  <si>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</si>
  <si>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</si>
  <si>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</si>
  <si>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</si>
  <si>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</si>
  <si>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</si>
  <si>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</si>
  <si>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</si>
  <si>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</si>
  <si>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</si>
  <si>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</si>
  <si>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</si>
  <si>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</si>
  <si>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</si>
  <si>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</si>
  <si>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</si>
  <si>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</si>
  <si>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</si>
  <si>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</si>
  <si>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</si>
  <si>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</si>
  <si>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</si>
  <si>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</si>
  <si>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</si>
  <si>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</si>
  <si>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</si>
  <si>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</si>
  <si>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</si>
  <si>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</si>
  <si>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</si>
  <si>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</si>
  <si>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</si>
  <si>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</si>
  <si>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</si>
  <si>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</si>
  <si>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</si>
  <si>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</si>
  <si>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</si>
  <si>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</si>
  <si>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</si>
  <si>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</si>
  <si>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</si>
  <si>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</si>
  <si>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</si>
  <si>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</si>
  <si>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</si>
  <si>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</si>
  <si>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</si>
  <si>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</si>
  <si>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</si>
  <si>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</si>
  <si>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</si>
  <si>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</si>
  <si>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</si>
  <si>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</si>
  <si>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</si>
  <si>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</si>
  <si>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</si>
  <si>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</si>
  <si>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</si>
  <si>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</si>
  <si>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</si>
  <si>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</si>
  <si>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</si>
  <si>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</si>
  <si>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</si>
  <si>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</si>
  <si>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</si>
  <si>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</si>
  <si>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</si>
  <si>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</si>
  <si>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</si>
  <si>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</si>
  <si>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</si>
  <si>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</si>
  <si>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</si>
  <si>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</si>
  <si>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</si>
  <si>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</si>
  <si>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</si>
  <si>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</si>
  <si>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</si>
  <si>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</si>
  <si>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</si>
  <si>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</si>
  <si>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</si>
  <si>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</si>
  <si>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</si>
  <si>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</si>
  <si>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</si>
  <si>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</si>
  <si>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</si>
  <si>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</si>
  <si>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</si>
  <si>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</si>
  <si>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</si>
  <si>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</si>
  <si>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</si>
  <si>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</si>
  <si>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</si>
  <si>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</si>
  <si>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</si>
  <si>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</si>
  <si>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</si>
  <si>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</si>
  <si>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</si>
  <si>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</si>
  <si>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</si>
  <si>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</si>
  <si>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</si>
  <si>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</si>
  <si>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</si>
  <si>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</si>
  <si>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</si>
  <si>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</si>
  <si>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</si>
  <si>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</si>
  <si>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</si>
  <si>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</si>
  <si>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</si>
  <si>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</si>
  <si>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</si>
  <si>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</si>
  <si>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</si>
  <si>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</si>
  <si>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</si>
  <si>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</si>
  <si>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</si>
  <si>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</si>
  <si>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</si>
  <si>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</si>
  <si>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</si>
  <si>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</si>
  <si>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</si>
  <si>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</si>
  <si>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</si>
  <si>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</si>
  <si>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</si>
  <si>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</si>
  <si>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</si>
  <si>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</si>
  <si>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</si>
  <si>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</si>
  <si>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</si>
  <si>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</si>
  <si>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</si>
  <si>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</si>
  <si>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</si>
  <si>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</si>
  <si>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</si>
  <si>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</si>
  <si>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</si>
  <si>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</si>
  <si>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</si>
  <si>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</si>
  <si>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</si>
  <si>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</si>
  <si>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</si>
  <si>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</si>
  <si>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</si>
  <si>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</si>
  <si>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</si>
  <si>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</si>
  <si>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</si>
  <si>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</si>
  <si>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</si>
  <si>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</si>
  <si>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</si>
  <si>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</si>
  <si>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</si>
  <si>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</si>
  <si>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</si>
  <si>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</si>
  <si>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</si>
  <si>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</si>
  <si>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</si>
  <si>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</si>
  <si>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</si>
  <si>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</si>
  <si>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</si>
  <si>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</si>
  <si>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</si>
  <si>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</si>
  <si>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</si>
  <si>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</si>
  <si>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</si>
  <si>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</si>
  <si>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</si>
  <si>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</si>
  <si>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</si>
  <si>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</si>
  <si>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</si>
  <si>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</si>
  <si>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</si>
  <si>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</si>
  <si>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</si>
  <si>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</si>
  <si>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</si>
  <si>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</si>
  <si>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</si>
  <si>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</si>
  <si>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</si>
  <si>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</si>
  <si>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</si>
  <si>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</si>
  <si>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</si>
  <si>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</si>
  <si>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</si>
  <si>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</si>
  <si>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</si>
  <si>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</si>
  <si>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</si>
  <si>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</si>
  <si>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</si>
  <si>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</si>
  <si>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</si>
  <si>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</si>
  <si>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</si>
  <si>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</si>
  <si>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</si>
  <si>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</si>
  <si>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</si>
  <si>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</si>
  <si>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</si>
  <si>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</si>
  <si>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</si>
  <si>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</si>
  <si>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</si>
  <si>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</si>
  <si>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</si>
  <si>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</si>
  <si>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</si>
  <si>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</si>
  <si>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</si>
  <si>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</si>
  <si>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</si>
  <si>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</si>
  <si>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</si>
  <si>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</si>
  <si>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</si>
  <si>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</si>
  <si>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</si>
  <si>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</si>
  <si>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</si>
  <si>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</si>
  <si>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</si>
  <si>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</si>
  <si>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</si>
  <si>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</si>
  <si>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</si>
  <si>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</si>
  <si>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</si>
  <si>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</si>
  <si>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</si>
  <si>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</si>
  <si>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</si>
  <si>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</si>
  <si>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</si>
  <si>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</si>
  <si>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</si>
  <si>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</si>
  <si>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</si>
  <si>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</si>
  <si>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</si>
  <si>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</si>
  <si>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</si>
  <si>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</si>
  <si>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</si>
  <si>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</si>
  <si>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</si>
  <si>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</si>
  <si>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</si>
  <si>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</si>
  <si>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</si>
  <si>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</si>
  <si>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</si>
  <si>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</si>
  <si>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</si>
  <si>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</si>
  <si>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</si>
  <si>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</si>
  <si>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</si>
  <si>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</si>
  <si>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</si>
  <si>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</si>
  <si>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</si>
  <si>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</si>
  <si>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</si>
  <si>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</si>
  <si>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</si>
  <si>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</si>
  <si>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</si>
  <si>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</si>
  <si>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</si>
  <si>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</si>
  <si>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</si>
  <si>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</si>
  <si>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</si>
  <si>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</si>
  <si>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</si>
  <si>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</si>
  <si>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</si>
  <si>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</si>
  <si>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</si>
  <si>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</si>
  <si>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</si>
  <si>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</si>
  <si>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</si>
  <si>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</si>
  <si>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</si>
  <si>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</si>
  <si>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</si>
  <si>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</si>
  <si>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</si>
  <si>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</si>
  <si>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</si>
  <si>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</si>
  <si>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</si>
  <si>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</si>
  <si>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</si>
  <si>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</si>
  <si>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</si>
  <si>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</si>
  <si>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</si>
  <si>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</si>
  <si>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</si>
  <si>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</si>
  <si>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</si>
  <si>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</si>
  <si>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</si>
  <si>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</si>
  <si>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</si>
  <si>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</si>
  <si>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</si>
  <si>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</si>
  <si>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</si>
  <si>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</si>
  <si>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</si>
  <si>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</si>
  <si>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</si>
  <si>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</si>
  <si>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</si>
  <si>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</si>
  <si>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</si>
  <si>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</si>
  <si>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</si>
  <si>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</si>
  <si>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</si>
  <si>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</si>
  <si>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</si>
  <si>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</si>
  <si>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</si>
  <si>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</si>
  <si>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</si>
  <si>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</si>
  <si>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</si>
  <si>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</si>
  <si>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</si>
  <si>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</si>
  <si>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</si>
  <si>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</si>
  <si>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</si>
  <si>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</si>
  <si>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</si>
  <si>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</si>
  <si>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</si>
  <si>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</si>
  <si>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</si>
  <si>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</si>
  <si>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</si>
  <si>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</si>
  <si>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</si>
  <si>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</si>
  <si>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</si>
  <si>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</si>
  <si>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</si>
  <si>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</si>
  <si>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</si>
  <si>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</si>
  <si>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</si>
  <si>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</si>
  <si>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</si>
  <si>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</si>
  <si>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</si>
  <si>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</si>
  <si>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</si>
  <si>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</si>
  <si>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</si>
  <si>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</si>
  <si>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</si>
  <si>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</si>
  <si>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</si>
  <si>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</si>
  <si>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</si>
  <si>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</si>
  <si>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</si>
  <si>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</si>
  <si>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</si>
  <si>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</si>
  <si>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</si>
  <si>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</si>
  <si>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</si>
  <si>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</si>
  <si>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</si>
  <si>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</si>
  <si>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</si>
  <si>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</si>
  <si>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</si>
  <si>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</si>
  <si>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</si>
  <si>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</si>
  <si>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</si>
  <si>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</si>
  <si>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</si>
  <si>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</si>
  <si>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</si>
  <si>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</si>
  <si>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</si>
  <si>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</si>
  <si>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</si>
  <si>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</si>
  <si>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</si>
  <si>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</si>
  <si>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</si>
  <si>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</si>
  <si>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</si>
  <si>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</si>
  <si>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</si>
  <si>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</si>
  <si>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</si>
  <si>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</si>
  <si>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</si>
  <si>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</si>
  <si>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</si>
  <si>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</si>
  <si>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</si>
  <si>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</si>
  <si>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</si>
  <si>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</si>
  <si>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</si>
  <si>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</si>
  <si>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</si>
  <si>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</si>
  <si>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</si>
  <si>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</si>
  <si>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</si>
  <si>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</si>
  <si>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</si>
  <si>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</si>
  <si>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</si>
  <si>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</si>
  <si>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</si>
  <si>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</si>
  <si>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</si>
  <si>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</si>
  <si>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</si>
  <si>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</si>
  <si>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</si>
  <si>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</si>
  <si>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</si>
  <si>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</si>
  <si>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</si>
  <si>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</si>
  <si>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</si>
  <si>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</si>
  <si>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</si>
  <si>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</si>
  <si>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</si>
  <si>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</si>
  <si>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</si>
  <si>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</si>
  <si>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</si>
  <si>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</si>
  <si>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</si>
  <si>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</si>
  <si>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</si>
  <si>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</si>
  <si>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</si>
  <si>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</si>
  <si>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</si>
  <si>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</si>
  <si>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</si>
  <si>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</si>
  <si>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</si>
  <si>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</si>
  <si>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</si>
  <si>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</si>
  <si>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</si>
  <si>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</si>
  <si>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</si>
  <si>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</si>
  <si>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</si>
  <si>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</si>
  <si>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</si>
  <si>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</si>
  <si>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</si>
  <si>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</si>
  <si>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</si>
  <si>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</si>
  <si>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</si>
  <si>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</si>
  <si>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</si>
  <si>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</si>
  <si>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</si>
  <si>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</si>
  <si>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</si>
  <si>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</si>
  <si>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</si>
  <si>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</si>
  <si>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</si>
  <si>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</si>
  <si>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</si>
  <si>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</si>
  <si>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</si>
  <si>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</si>
  <si>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</si>
  <si>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</si>
  <si>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</si>
  <si>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</si>
  <si>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</si>
  <si>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</si>
  <si>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</si>
  <si>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</si>
  <si>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</si>
  <si>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</si>
  <si>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</si>
  <si>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</si>
  <si>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</si>
  <si>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</si>
  <si>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</si>
  <si>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</si>
  <si>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</si>
  <si>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</si>
  <si>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</si>
  <si>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</si>
  <si>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</si>
  <si>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</si>
  <si>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</si>
  <si>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</si>
  <si>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</si>
  <si>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</si>
  <si>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</si>
  <si>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</si>
  <si>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</si>
  <si>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</si>
  <si>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</si>
  <si>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</si>
  <si>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</si>
  <si>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</si>
  <si>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</si>
  <si>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</si>
  <si>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</si>
  <si>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</si>
  <si>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</si>
  <si>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</si>
  <si>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</si>
  <si>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</si>
  <si>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</si>
  <si>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</si>
  <si>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</si>
  <si>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</si>
  <si>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</si>
  <si>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</si>
  <si>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</si>
  <si>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</si>
  <si>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</si>
  <si>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</si>
  <si>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</si>
  <si>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</si>
  <si>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</si>
  <si>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</si>
  <si>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</si>
  <si>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</si>
  <si>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</si>
  <si>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</si>
  <si>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</si>
  <si>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</si>
  <si>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</si>
  <si>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</si>
  <si>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</si>
  <si>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</si>
  <si>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</si>
  <si>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</si>
  <si>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</si>
  <si>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</si>
  <si>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</si>
  <si>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</si>
  <si>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</si>
  <si>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</si>
  <si>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</si>
  <si>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</si>
  <si>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</si>
  <si>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</si>
  <si>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</si>
  <si>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</si>
  <si>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</si>
  <si>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</si>
  <si>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</si>
  <si>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</si>
  <si>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</si>
  <si>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</si>
  <si>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</si>
  <si>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</si>
  <si>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</si>
  <si>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</si>
  <si>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</si>
  <si>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</si>
  <si>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</si>
  <si>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</si>
  <si>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</si>
  <si>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</si>
  <si>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</si>
  <si>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</si>
  <si>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</si>
  <si>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</si>
  <si>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</si>
  <si>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</si>
  <si>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</si>
  <si>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</si>
  <si>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</si>
  <si>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</si>
  <si>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</si>
  <si>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</si>
  <si>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</si>
  <si>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</si>
  <si>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</si>
  <si>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</si>
  <si>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</si>
  <si>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</si>
  <si>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</si>
  <si>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</si>
  <si>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</si>
  <si>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</si>
  <si>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</si>
  <si>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</si>
  <si>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</si>
  <si>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</si>
  <si>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</si>
  <si>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</si>
  <si>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</si>
  <si>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</si>
  <si>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</si>
  <si>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</si>
  <si>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</si>
  <si>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</si>
  <si>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</si>
  <si>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</si>
  <si>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</si>
  <si>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</si>
  <si>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</si>
  <si>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</si>
  <si>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</si>
  <si>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</si>
  <si>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</si>
  <si>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</si>
  <si>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</si>
  <si>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</si>
  <si>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</si>
  <si>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</si>
  <si>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</si>
  <si>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</si>
  <si>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</si>
  <si>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</si>
  <si>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</si>
  <si>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</si>
  <si>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</si>
  <si>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</si>
  <si>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</si>
  <si>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</si>
  <si>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</si>
  <si>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</si>
  <si>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</si>
  <si>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</si>
  <si>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</si>
  <si>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</si>
  <si>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</si>
  <si>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</si>
  <si>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</si>
  <si>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</si>
  <si>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</si>
  <si>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</si>
  <si>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</si>
  <si>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</si>
  <si>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</si>
  <si>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</si>
  <si>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</si>
  <si>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</si>
  <si>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</si>
  <si>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</si>
  <si>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</si>
  <si>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</si>
  <si>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</si>
  <si>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</si>
  <si>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</si>
  <si>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</si>
  <si>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</si>
  <si>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</si>
  <si>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</si>
  <si>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</si>
  <si>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</si>
  <si>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</si>
  <si>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</si>
  <si>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</si>
  <si>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</si>
  <si>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</si>
  <si>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</si>
  <si>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</si>
  <si>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</si>
  <si>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</si>
  <si>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</si>
  <si>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</si>
  <si>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</si>
  <si>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</si>
  <si>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</si>
  <si>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</si>
  <si>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</si>
  <si>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</si>
  <si>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</si>
  <si>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</si>
  <si>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</si>
  <si>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</si>
  <si>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</si>
  <si>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</si>
  <si>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</si>
  <si>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</si>
  <si>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</si>
  <si>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</si>
  <si>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</si>
  <si>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</si>
  <si>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</si>
  <si>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</si>
  <si>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</si>
  <si>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</si>
  <si>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</si>
  <si>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</si>
  <si>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</si>
  <si>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</si>
  <si>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</si>
  <si>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</si>
  <si>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</si>
  <si>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</si>
  <si>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</si>
  <si>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</si>
  <si>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</si>
  <si>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</si>
  <si>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</si>
  <si>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</si>
  <si>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</si>
  <si>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</si>
  <si>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</si>
  <si>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</si>
  <si>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</si>
  <si>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</si>
  <si>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</si>
  <si>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</si>
  <si>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SEGOVIA</t>
  </si>
  <si>
    <t>Resumenes por Partidos Judiciales</t>
  </si>
  <si>
    <t>SANTA MARIA LA REAL DE NIEVA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</si>
</sst>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o8YAVqJr18KfxTm0Y9U6iudZyXcFrcluhDIFNvNbnebRn7Ub5exHKp+HtOYW4/Q6EsuNMVTeBrlLCrNdz32Q==" saltValue="nZwEUzL2BvSFa1OY5pig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1</v>
      </c>
      <c r="F10" s="240">
        <f>IF(ISNUMBER(Datos!K10),Datos!K10," - ")</f>
        <v>2</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38.803149606299215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185</v>
      </c>
      <c r="D17" s="239">
        <f>IF(ISNUMBER(IF(D_I="SI",Datos!I17,Datos!I17+Datos!AC17)),IF(D_I="SI",Datos!I17,Datos!I17+Datos!AC17)," - ")</f>
        <v>185</v>
      </c>
      <c r="E17" s="240">
        <f>IF(ISNUMBER(IF(D_I="SI",Datos!J17,Datos!J17+Datos!AD17)),IF(D_I="SI",Datos!J17,Datos!J17+Datos!AD17)," - ")</f>
        <v>163</v>
      </c>
      <c r="F17" s="240">
        <f>IF(ISNUMBER(IF(D_I="SI",Datos!K17,Datos!K17+Datos!AE17)),IF(D_I="SI",Datos!K17,Datos!K17+Datos!AE17)," - ")</f>
        <v>122</v>
      </c>
      <c r="G17" s="1390" t="str">
        <f>IF(Datos!E17&lt;&gt;"",Datos!E17,Datos!D17)</f>
        <v>04</v>
      </c>
      <c r="H17" s="241">
        <f>IF(ISNUMBER(IF(D_I="SI",Datos!L17,Datos!L17+Datos!AF17)),IF(D_I="SI",Datos!L17,Datos!L17+Datos!AF17)," - ")</f>
        <v>226</v>
      </c>
      <c r="I17" s="1400" t="str">
        <f>IF(ISNUMBER(Datos!AS17/Datos!BM17),Datos!AS17/Datos!BM17," - ")</f>
        <v xml:space="preserve"> - </v>
      </c>
      <c r="J17" s="1401">
        <f>IF(ISNUMBER(Datos!BY17/Datos!CN17),Datos!BY17/Datos!CN17," - ")</f>
        <v>0</v>
      </c>
      <c r="K17" s="244">
        <f t="shared" si="3"/>
        <v>0.22162162162162163</v>
      </c>
      <c r="L17" s="1402">
        <f>IF(ISNUMBER(NºAsuntos!I17/NºAsuntos!G17),(NºAsuntos!I17/NºAsuntos!G17)*11," - ")</f>
        <v>20.377049180327869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18</v>
      </c>
      <c r="D18" s="239">
        <f>IF(ISNUMBER(IF(D_I="SI",Datos!I18,Datos!I18+Datos!AC18)),IF(D_I="SI",Datos!I18,Datos!I18+Datos!AC18)," - ")</f>
        <v>18</v>
      </c>
      <c r="E18" s="240">
        <f>IF(ISNUMBER(IF(D_I="SI",Datos!J18,Datos!J18+Datos!AD18)),IF(D_I="SI",Datos!J18,Datos!J18+Datos!AD18)," - ")</f>
        <v>11</v>
      </c>
      <c r="F18" s="240">
        <f>IF(ISNUMBER(IF(D_I="SI",Datos!K18,Datos!K18+Datos!AE18)),IF(D_I="SI",Datos!K18,Datos!K18+Datos!AE18)," - ")</f>
        <v>19</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-0.44444444444444442</v>
      </c>
      <c r="L18" s="1402">
        <f>IF(ISNUMBER(NºAsuntos!I18/NºAsuntos!G18),(NºAsuntos!I18/NºAsuntos!G18)*11," - ")</f>
        <v>5.7894736842105257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203</v>
      </c>
      <c r="D23" s="1407">
        <f>SUBTOTAL(9,D16:D22)</f>
        <v>203</v>
      </c>
      <c r="E23" s="1408">
        <f>SUBTOTAL(9,E16:E22)</f>
        <v>174</v>
      </c>
      <c r="F23" s="1408">
        <f>SUBTOTAL(9,F16:F22)</f>
        <v>141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v>
      </c>
      <c r="D31" s="1435">
        <f>SUBTOTAL(9,D9:D30)</f>
        <v>204</v>
      </c>
      <c r="E31" s="1436">
        <f>SUBTOTAL(9,E9:E30)</f>
        <v>175</v>
      </c>
      <c r="F31" s="1436">
        <f>SUBTOTAL(9,F9:F30)</f>
        <v>143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41HajWluFQrPTc0WKXx8OjHheIVQsegwYC4bDUTtFYoSVRG7gAnHk93aSWILUh52jbEXFsYR01rHZ2bfuoMxg==" saltValue="fUDBL296hlqg0hlFgUXoP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UOAqnG1CocOGYsApONadzpTrE32Y7nMPvqoR0CDhu/xZgKT2PanJ9BcpMdlRb4u/ZHdF+Ul0Oq6Mhq7+P+LkQ==" saltValue="b1xZnEVD/KoVDfwMzg/k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1</v>
      </c>
      <c r="K10" s="194">
        <v>2</v>
      </c>
      <c r="L10" s="194">
        <v>0</v>
      </c>
      <c r="M10" s="194">
        <v>0</v>
      </c>
      <c r="N10" s="194">
        <v>0</v>
      </c>
      <c r="O10" s="194">
        <v>0</v>
      </c>
      <c r="P10" s="194">
        <v>0</v>
      </c>
      <c r="Q10" s="194">
        <v>0</v>
      </c>
      <c r="R10" s="194">
        <v>0</v>
      </c>
      <c r="S10" s="194">
        <v>1</v>
      </c>
      <c r="T10" s="194">
        <v>0</v>
      </c>
      <c r="U10" s="194">
        <v>0</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0</v>
      </c>
      <c r="BA10" s="139">
        <f t="shared" si="0"/>
        <v>0</v>
      </c>
      <c r="BB10" s="139">
        <f t="shared" si="0"/>
        <v>1</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381</v>
      </c>
      <c r="J12" s="196">
        <v>173</v>
      </c>
      <c r="K12" s="196">
        <v>121</v>
      </c>
      <c r="L12" s="196">
        <v>433</v>
      </c>
      <c r="M12" s="196">
        <v>24</v>
      </c>
      <c r="N12" s="196">
        <v>39</v>
      </c>
      <c r="O12" s="194">
        <v>74</v>
      </c>
      <c r="P12" s="196">
        <v>53</v>
      </c>
      <c r="Q12" s="196">
        <v>26</v>
      </c>
      <c r="R12" s="196">
        <v>812</v>
      </c>
      <c r="S12" s="196">
        <v>197</v>
      </c>
      <c r="T12" s="196">
        <v>87</v>
      </c>
      <c r="U12" s="196">
        <v>98</v>
      </c>
      <c r="V12" s="196">
        <v>221</v>
      </c>
      <c r="W12" s="196">
        <v>29</v>
      </c>
      <c r="X12" s="202">
        <v>38</v>
      </c>
      <c r="Y12" s="204">
        <v>15</v>
      </c>
      <c r="Z12" s="194">
        <v>6</v>
      </c>
      <c r="AA12" s="194">
        <v>6</v>
      </c>
      <c r="AB12" s="194">
        <v>15</v>
      </c>
      <c r="AC12" s="196">
        <v>0</v>
      </c>
      <c r="AD12" s="196">
        <v>0</v>
      </c>
      <c r="AE12" s="196">
        <v>0</v>
      </c>
      <c r="AF12" s="202">
        <v>0</v>
      </c>
      <c r="AG12" s="215">
        <v>20</v>
      </c>
      <c r="AH12" s="196">
        <v>9</v>
      </c>
      <c r="AI12" s="196">
        <v>13</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217</v>
      </c>
      <c r="AZ12" s="137">
        <f t="shared" si="1"/>
        <v>96</v>
      </c>
      <c r="BA12" s="137">
        <f t="shared" si="1"/>
        <v>111</v>
      </c>
      <c r="BB12" s="137">
        <f t="shared" si="1"/>
        <v>237</v>
      </c>
      <c r="BC12" s="135">
        <f>IF(ISNUMBER(X12),X12," - ")</f>
        <v>38</v>
      </c>
      <c r="BD12" s="136">
        <f t="shared" si="2"/>
        <v>1.15625</v>
      </c>
      <c r="BE12" s="137">
        <f t="shared" si="3"/>
        <v>2.1351351351351351</v>
      </c>
      <c r="BF12" s="137">
        <f t="shared" si="4"/>
        <v>0.34234234234234234</v>
      </c>
      <c r="BG12" s="209">
        <f t="shared" si="5"/>
        <v>2.8198198198198199</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382</v>
      </c>
      <c r="J14" s="197">
        <f t="shared" si="7"/>
        <v>174</v>
      </c>
      <c r="K14" s="197">
        <f t="shared" si="7"/>
        <v>123</v>
      </c>
      <c r="L14" s="197">
        <f t="shared" si="7"/>
        <v>433</v>
      </c>
      <c r="M14" s="197">
        <f t="shared" si="7"/>
        <v>24</v>
      </c>
      <c r="N14" s="197">
        <f t="shared" si="7"/>
        <v>39</v>
      </c>
      <c r="O14" s="197">
        <f t="shared" si="7"/>
        <v>74</v>
      </c>
      <c r="P14" s="197">
        <f t="shared" si="7"/>
        <v>53</v>
      </c>
      <c r="Q14" s="197">
        <f t="shared" si="7"/>
        <v>26</v>
      </c>
      <c r="R14" s="197">
        <f t="shared" si="7"/>
        <v>812</v>
      </c>
      <c r="S14" s="197">
        <f t="shared" si="7"/>
        <v>198</v>
      </c>
      <c r="T14" s="197">
        <f t="shared" si="7"/>
        <v>87</v>
      </c>
      <c r="U14" s="197">
        <f t="shared" si="7"/>
        <v>98</v>
      </c>
      <c r="V14" s="197">
        <f t="shared" si="7"/>
        <v>222</v>
      </c>
      <c r="W14" s="197">
        <f t="shared" si="7"/>
        <v>29</v>
      </c>
      <c r="X14" s="197">
        <f t="shared" si="7"/>
        <v>38</v>
      </c>
      <c r="Y14" s="197">
        <f t="shared" si="7"/>
        <v>15</v>
      </c>
      <c r="Z14" s="197">
        <f t="shared" si="7"/>
        <v>6</v>
      </c>
      <c r="AA14" s="197">
        <f t="shared" si="7"/>
        <v>6</v>
      </c>
      <c r="AB14" s="197">
        <f t="shared" si="7"/>
        <v>15</v>
      </c>
      <c r="AC14" s="197">
        <f t="shared" si="7"/>
        <v>0</v>
      </c>
      <c r="AD14" s="197">
        <f t="shared" si="7"/>
        <v>0</v>
      </c>
      <c r="AE14" s="197">
        <f t="shared" si="7"/>
        <v>0</v>
      </c>
      <c r="AF14" s="197">
        <f>SUBTOTAL(9,AF9:AF13)</f>
        <v>0</v>
      </c>
      <c r="AG14" s="197">
        <f t="shared" ref="AG14:AT14" si="8">SUBTOTAL(9,AG8:AG13)</f>
        <v>20</v>
      </c>
      <c r="AH14" s="197">
        <f t="shared" si="8"/>
        <v>9</v>
      </c>
      <c r="AI14" s="197">
        <f t="shared" si="8"/>
        <v>13</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218</v>
      </c>
      <c r="AZ14" s="197">
        <f>SUBTOTAL(9,AZ8:AZ13)</f>
        <v>96</v>
      </c>
      <c r="BA14" s="197">
        <f>SUBTOTAL(9,BA8:BA13)</f>
        <v>111</v>
      </c>
      <c r="BB14" s="197">
        <f>SUBTOTAL(9,BB8:BB13)</f>
        <v>238</v>
      </c>
      <c r="BC14" s="197">
        <f>SUBTOTAL(9,BC8:BC13)</f>
        <v>38</v>
      </c>
      <c r="BD14" s="219">
        <f>IF(ISNUMBER(BA14/AZ14),BA14/AZ14," - ")</f>
        <v>1.15625</v>
      </c>
      <c r="BE14" s="220">
        <f>IF(ISNUMBER(BB14/BA14),BB14/BA14, " - ")</f>
        <v>2.144144144144144</v>
      </c>
      <c r="BF14" s="220">
        <f>IF(ISNUMBER(BC14/BA14),BC14/BA14, " - ")</f>
        <v>0.34234234234234234</v>
      </c>
      <c r="BG14" s="221">
        <f>IF(ISNUMBER((AY14+AZ14)/BA14),(AY14+AZ14)/BA14," - ")</f>
        <v>2.8288288288288288</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185</v>
      </c>
      <c r="J17" s="196">
        <v>163</v>
      </c>
      <c r="K17" s="196">
        <v>122</v>
      </c>
      <c r="L17" s="196">
        <v>226</v>
      </c>
      <c r="M17" s="196">
        <v>19</v>
      </c>
      <c r="N17" s="196">
        <v>78</v>
      </c>
      <c r="O17" s="194">
        <v>0</v>
      </c>
      <c r="P17" s="196">
        <v>8</v>
      </c>
      <c r="Q17" s="196">
        <v>0</v>
      </c>
      <c r="R17" s="196">
        <v>26</v>
      </c>
      <c r="S17" s="196">
        <v>182</v>
      </c>
      <c r="T17" s="196">
        <v>105</v>
      </c>
      <c r="U17" s="196">
        <v>119</v>
      </c>
      <c r="V17" s="196">
        <v>173</v>
      </c>
      <c r="W17" s="196">
        <v>17</v>
      </c>
      <c r="X17" s="202">
        <v>73</v>
      </c>
      <c r="Y17" s="215">
        <v>0</v>
      </c>
      <c r="Z17" s="196">
        <v>0</v>
      </c>
      <c r="AA17" s="196">
        <v>0</v>
      </c>
      <c r="AB17" s="196">
        <v>0</v>
      </c>
      <c r="AC17" s="196">
        <v>0</v>
      </c>
      <c r="AD17" s="196">
        <v>0</v>
      </c>
      <c r="AE17" s="196">
        <v>0</v>
      </c>
      <c r="AF17" s="202">
        <v>0</v>
      </c>
      <c r="AG17" s="215">
        <v>0</v>
      </c>
      <c r="AH17" s="196">
        <v>0</v>
      </c>
      <c r="AI17" s="196">
        <v>0</v>
      </c>
      <c r="AJ17" s="216">
        <v>0</v>
      </c>
      <c r="AK17" s="195">
        <v>0</v>
      </c>
      <c r="AL17" s="196">
        <v>2</v>
      </c>
      <c r="AM17" s="196">
        <v>2</v>
      </c>
      <c r="AN17" s="202">
        <v>0</v>
      </c>
      <c r="AO17" s="283">
        <v>1</v>
      </c>
      <c r="AP17" s="168">
        <v>1</v>
      </c>
      <c r="AQ17" s="168">
        <v>1</v>
      </c>
      <c r="AR17" s="168">
        <v>1</v>
      </c>
      <c r="AS17" s="381" t="s">
        <v>650</v>
      </c>
      <c r="AT17" s="216"/>
      <c r="AU17" s="215"/>
      <c r="AV17" s="216"/>
      <c r="AW17" s="215"/>
      <c r="AX17" s="216"/>
      <c r="AY17" s="136">
        <f t="shared" si="10"/>
        <v>182</v>
      </c>
      <c r="AZ17" s="137">
        <f t="shared" si="10"/>
        <v>105</v>
      </c>
      <c r="BA17" s="137">
        <f t="shared" si="10"/>
        <v>119</v>
      </c>
      <c r="BB17" s="137">
        <f t="shared" si="10"/>
        <v>173</v>
      </c>
      <c r="BC17" s="135">
        <f>IF(ISNUMBER(W17),W17," - ")</f>
        <v>17</v>
      </c>
      <c r="BD17" s="136">
        <f t="shared" ref="BD17:BD22" si="12">IF(ISNUMBER(BA17/AZ17),BA17/AZ17," - ")</f>
        <v>1.1333333333333333</v>
      </c>
      <c r="BE17" s="137">
        <f t="shared" ref="BE17:BE22" si="13">IF(ISNUMBER(BB17/BA17),BB17/BA17, " - ")</f>
        <v>1.453781512605042</v>
      </c>
      <c r="BF17" s="137">
        <f t="shared" ref="BF17:BF22" si="14">IF(ISNUMBER(BC17/BA17),BC17/BA17, " - ")</f>
        <v>0.14285714285714285</v>
      </c>
      <c r="BG17" s="209">
        <f t="shared" si="11"/>
        <v>2.4117647058823528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18</v>
      </c>
      <c r="J18" s="196">
        <v>11</v>
      </c>
      <c r="K18" s="196">
        <v>19</v>
      </c>
      <c r="L18" s="196">
        <v>10</v>
      </c>
      <c r="M18" s="196">
        <v>0</v>
      </c>
      <c r="N18" s="196">
        <v>15</v>
      </c>
      <c r="O18" s="196">
        <v>0</v>
      </c>
      <c r="P18" s="196">
        <v>0</v>
      </c>
      <c r="Q18" s="196">
        <v>0</v>
      </c>
      <c r="R18" s="196">
        <v>0</v>
      </c>
      <c r="S18" s="196">
        <v>13</v>
      </c>
      <c r="T18" s="196">
        <v>8</v>
      </c>
      <c r="U18" s="196">
        <v>6</v>
      </c>
      <c r="V18" s="196">
        <v>15</v>
      </c>
      <c r="W18" s="196">
        <v>1</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13</v>
      </c>
      <c r="AZ18" s="139">
        <f t="shared" si="15"/>
        <v>8</v>
      </c>
      <c r="BA18" s="139">
        <f t="shared" si="15"/>
        <v>6</v>
      </c>
      <c r="BB18" s="139">
        <f t="shared" si="15"/>
        <v>15</v>
      </c>
      <c r="BC18" s="135">
        <f>IF(ISNUMBER(W18),W18," - ")</f>
        <v>1</v>
      </c>
      <c r="BD18" s="136">
        <f>IF(ISNUMBER(BA18/AZ18),BA18/AZ18," - ")</f>
        <v>0.75</v>
      </c>
      <c r="BE18" s="137">
        <f>IF(ISNUMBER(BB18/BA18),BB18/BA18, " - ")</f>
        <v>2.5</v>
      </c>
      <c r="BF18" s="137">
        <f>IF(ISNUMBER(BC18/BA18),BC18/BA18, " - ")</f>
        <v>0.16666666666666666</v>
      </c>
      <c r="BG18" s="209">
        <f>IF(ISNUMBER((AY18+AZ18)/BA18),(AY18+AZ18)/BA18," - ")</f>
        <v>3.5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203</v>
      </c>
      <c r="J23" s="197">
        <f t="shared" si="21"/>
        <v>174</v>
      </c>
      <c r="K23" s="197">
        <f t="shared" si="21"/>
        <v>141</v>
      </c>
      <c r="L23" s="197">
        <f t="shared" si="21"/>
        <v>236</v>
      </c>
      <c r="M23" s="197">
        <f t="shared" si="21"/>
        <v>19</v>
      </c>
      <c r="N23" s="197">
        <f t="shared" si="21"/>
        <v>93</v>
      </c>
      <c r="O23" s="197">
        <f t="shared" si="21"/>
        <v>0</v>
      </c>
      <c r="P23" s="197">
        <f t="shared" si="21"/>
        <v>8</v>
      </c>
      <c r="Q23" s="197">
        <f t="shared" si="21"/>
        <v>0</v>
      </c>
      <c r="R23" s="197">
        <f t="shared" si="21"/>
        <v>26</v>
      </c>
      <c r="S23" s="197">
        <f t="shared" si="21"/>
        <v>195</v>
      </c>
      <c r="T23" s="197">
        <f t="shared" si="21"/>
        <v>113</v>
      </c>
      <c r="U23" s="197">
        <f t="shared" si="21"/>
        <v>125</v>
      </c>
      <c r="V23" s="197">
        <f t="shared" si="21"/>
        <v>188</v>
      </c>
      <c r="W23" s="197">
        <f t="shared" si="21"/>
        <v>18</v>
      </c>
      <c r="X23" s="197">
        <f t="shared" si="21"/>
        <v>75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195</v>
      </c>
      <c r="AZ23" s="197">
        <f>SUBTOTAL(9,AZ15:AZ22)</f>
        <v>113</v>
      </c>
      <c r="BA23" s="197">
        <f>SUBTOTAL(9,BA15:BA22)</f>
        <v>125</v>
      </c>
      <c r="BB23" s="197">
        <f>SUBTOTAL(9,BB15:BB22)</f>
        <v>188</v>
      </c>
      <c r="BC23" s="197">
        <f>SUBTOTAL(9,BC15:BC22)</f>
        <v>18</v>
      </c>
      <c r="BD23" s="219">
        <f>IF(ISNUMBER(BA23/AZ23),BA23/AZ23," - ")</f>
        <v>1.1061946902654867</v>
      </c>
      <c r="BE23" s="220">
        <f>IF(ISNUMBER(BB23/BA23),BB23/BA23, " - ")</f>
        <v>1.504</v>
      </c>
      <c r="BF23" s="220">
        <f>IF(ISNUMBER(BC23/BA23),BC23/BA23, " - ")</f>
        <v>0.14399999999999999</v>
      </c>
      <c r="BG23" s="221">
        <f>IF(ISNUMBER((AY23+AZ23)/BA23),(AY23+AZ23)/BA23," - ")</f>
        <v>2.464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585</v>
      </c>
      <c r="J31" s="144">
        <f t="shared" si="36"/>
        <v>348</v>
      </c>
      <c r="K31" s="144">
        <f t="shared" si="36"/>
        <v>264</v>
      </c>
      <c r="L31" s="144">
        <f t="shared" si="36"/>
        <v>669</v>
      </c>
      <c r="M31" s="144">
        <f t="shared" si="36"/>
        <v>43</v>
      </c>
      <c r="N31" s="144">
        <f t="shared" si="36"/>
        <v>132</v>
      </c>
      <c r="O31" s="144">
        <f t="shared" si="36"/>
        <v>74</v>
      </c>
      <c r="P31" s="144">
        <f t="shared" si="36"/>
        <v>61</v>
      </c>
      <c r="Q31" s="144">
        <f t="shared" si="36"/>
        <v>26</v>
      </c>
      <c r="R31" s="144">
        <f t="shared" si="36"/>
        <v>838</v>
      </c>
      <c r="S31" s="144">
        <f t="shared" si="36"/>
        <v>393</v>
      </c>
      <c r="T31" s="144">
        <f t="shared" si="36"/>
        <v>200</v>
      </c>
      <c r="U31" s="144">
        <f t="shared" si="36"/>
        <v>223</v>
      </c>
      <c r="V31" s="144">
        <f t="shared" si="36"/>
        <v>410</v>
      </c>
      <c r="W31" s="144">
        <f t="shared" si="36"/>
        <v>47</v>
      </c>
      <c r="X31" s="144">
        <f t="shared" si="36"/>
        <v>113</v>
      </c>
      <c r="Y31" s="144">
        <f t="shared" si="36"/>
        <v>15</v>
      </c>
      <c r="Z31" s="144">
        <f t="shared" si="36"/>
        <v>6</v>
      </c>
      <c r="AA31" s="144">
        <f t="shared" si="36"/>
        <v>6</v>
      </c>
      <c r="AB31" s="144">
        <f t="shared" si="36"/>
        <v>15</v>
      </c>
      <c r="AC31" s="144">
        <f t="shared" si="36"/>
        <v>0</v>
      </c>
      <c r="AD31" s="144">
        <f t="shared" si="36"/>
        <v>0</v>
      </c>
      <c r="AE31" s="144">
        <f t="shared" si="36"/>
        <v>0</v>
      </c>
      <c r="AF31" s="144">
        <f t="shared" si="36"/>
        <v>0</v>
      </c>
      <c r="AG31" s="144">
        <f t="shared" si="36"/>
        <v>20</v>
      </c>
      <c r="AH31" s="144">
        <f t="shared" si="36"/>
        <v>9</v>
      </c>
      <c r="AI31" s="144">
        <f t="shared" si="36"/>
        <v>13</v>
      </c>
      <c r="AJ31" s="144">
        <f t="shared" si="36"/>
        <v>16</v>
      </c>
      <c r="AK31" s="144">
        <f t="shared" si="36"/>
        <v>0</v>
      </c>
      <c r="AL31" s="144">
        <f t="shared" si="36"/>
        <v>2</v>
      </c>
      <c r="AM31" s="144">
        <f t="shared" si="36"/>
        <v>2</v>
      </c>
      <c r="AN31" s="224">
        <f t="shared" si="36"/>
        <v>0</v>
      </c>
      <c r="AO31" s="225">
        <v>2</v>
      </c>
      <c r="AP31" s="225">
        <v>1</v>
      </c>
      <c r="AQ31" s="225">
        <v>1</v>
      </c>
      <c r="AR31" s="225">
        <v>1</v>
      </c>
      <c r="AS31" s="166">
        <f t="shared" si="36"/>
        <v>0</v>
      </c>
      <c r="AT31" s="166">
        <f t="shared" si="36"/>
        <v>0</v>
      </c>
      <c r="AU31" s="225"/>
      <c r="AV31" s="226"/>
      <c r="AW31" s="225"/>
      <c r="AX31" s="226"/>
      <c r="AY31" s="143">
        <f>SUBTOTAL(9,AY9:AY30)</f>
        <v>413</v>
      </c>
      <c r="AZ31" s="144">
        <f>SUBTOTAL(9,AZ9:AZ30)</f>
        <v>209</v>
      </c>
      <c r="BA31" s="144">
        <f>SUBTOTAL(9,BA9:BA30)</f>
        <v>236</v>
      </c>
      <c r="BB31" s="144">
        <f>SUBTOTAL(9,BB9:BB30)</f>
        <v>426</v>
      </c>
      <c r="BC31" s="145">
        <f>SUBTOTAL(9,BC9:BC30)</f>
        <v>56</v>
      </c>
      <c r="BD31" s="227">
        <f>IF(ISNUMBER(BA31/AZ31),BA31/AZ31," - ")</f>
        <v>1.1291866028708133</v>
      </c>
      <c r="BE31" s="224">
        <f>IF(ISNUMBER(BB31/BA31),BB31/BA31, " - ")</f>
        <v>1.8050847457627119</v>
      </c>
      <c r="BF31" s="224">
        <f>IF(ISNUMBER(BC31/BA31),BC31/BA31, " - ")</f>
        <v>0.23728813559322035</v>
      </c>
      <c r="BG31" s="145">
        <f>IF(ISNUMBER((AY31+AZ31)/BA31),(AY31+AZ31)/BA31," - ")</f>
        <v>2.6355932203389831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j2fZbPjCx47SySZCeaWwbtCkP8Ahzm6hAPfGYnbovhQ9H748Plc/r9sGPhgf5I0l1q7qFBmZVrfooEEXWcnTA==" saltValue="CQM7qDrYThe/paaffNOR5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Zu4DkvoDGeegiCjQk4a+my5sam9w8qvnRSJA70P8ckBGOukYPlnFmBDmnz89iawce0VHSH2eVrP/7DySDPZkg==" saltValue="+9xysrSfQDyRENnPwBLD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SEGOVIA  Resumenes por Partidos Judiciales  SANTA MARIA LA REAL DE NIEVA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v>
      </c>
      <c r="AI12" s="549" t="str">
        <f>IF(ISNUMBER(Datos!CD12),Datos!CD12,"-")</f>
        <v>-</v>
      </c>
      <c r="AJ12" s="549" t="str">
        <f>IF(ISNUMBER(Datos!EN12),Datos!EN12," - ")</f>
        <v xml:space="preserve"> - </v>
      </c>
      <c r="AK12" s="549"/>
      <c r="AL12" s="550"/>
      <c r="AM12" s="766">
        <f>IF(ISNUMBER(Datos!R12),Datos!R12," - ")</f>
        <v>812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24</v>
      </c>
      <c r="BD12" s="693">
        <f>IF(ISNUMBER(Datos!N12),Datos!N12," - ")</f>
        <v>39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0.70949720670391059</v>
      </c>
      <c r="BH12" s="764">
        <f>IF(ISNUMBER(((IF(J_V="SI",Datos!L12/Datos!K12,(Datos!L12+Datos!AB12)/(Datos!K12+Datos!AA12)))*11)/factor_trimestre),((IF(J_V="SI",Datos!L12/Datos!K12,(Datos!L12+Datos!AB12)/(Datos!K12+Datos!AA12)))*11)/factor_trimestre," - ")</f>
        <v>10.582677165354331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3.4394904458598725E-2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6</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26</v>
      </c>
      <c r="AD14" s="1198">
        <f t="shared" si="2"/>
        <v>0</v>
      </c>
      <c r="AE14" s="1198">
        <f t="shared" si="2"/>
        <v>0</v>
      </c>
      <c r="AF14" s="1198">
        <f t="shared" si="2"/>
        <v>0</v>
      </c>
      <c r="AG14" s="1198">
        <f t="shared" si="2"/>
        <v>0</v>
      </c>
      <c r="AH14" s="1198">
        <f t="shared" si="2"/>
        <v>15</v>
      </c>
      <c r="AI14" s="1198">
        <f t="shared" si="2"/>
        <v>0</v>
      </c>
      <c r="AJ14" s="1198">
        <f t="shared" si="2"/>
        <v>0</v>
      </c>
      <c r="AK14" s="1198">
        <f t="shared" si="2"/>
        <v>0</v>
      </c>
      <c r="AL14" s="1198">
        <f t="shared" si="2"/>
        <v>0</v>
      </c>
      <c r="AM14" s="1198">
        <f t="shared" si="2"/>
        <v>812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24</v>
      </c>
      <c r="BD14" s="1198">
        <f t="shared" si="2"/>
        <v>39</v>
      </c>
      <c r="BE14" s="1198">
        <f t="shared" si="2"/>
        <v>0</v>
      </c>
      <c r="BF14" s="1198">
        <f t="shared" si="2"/>
        <v>0</v>
      </c>
      <c r="BG14" s="1198">
        <f>IF(ISNUMBER(Datos!K14/Datos!J14),Datos!K14/Datos!J14," - ")</f>
        <v>0.7068965517241379</v>
      </c>
      <c r="BH14" s="1202">
        <f>IF(ISNUMBER(((Datos!L14/Datos!K14)*11)/factor_trimestre),((Datos!L14/Datos!K14)*11)/factor_trimestre," - ")</f>
        <v>10.560975609756099</v>
      </c>
      <c r="BI14" s="1198">
        <f>IF(ISNUMBER('Resol  Asuntos'!D14/NºAsuntos!G14),'Resol  Asuntos'!D14/NºAsuntos!G14," - ")</f>
        <v>0.18604651162790697</v>
      </c>
      <c r="BJ14" s="1198" t="str">
        <f>IF(ISNUMBER(Datos!CI14/Datos!CJ14),Datos!CI14/Datos!CJ14," - ")</f>
        <v xml:space="preserve"> - </v>
      </c>
      <c r="BK14" s="1198">
        <f>SUBTOTAL(9,BK8:BK13)</f>
        <v>0</v>
      </c>
      <c r="BL14" s="1198">
        <f>IF(ISNUMBER((I14-AB14+L14)/(F14)),(I14-AB14+L14)/(F14)," - ")</f>
        <v>-2</v>
      </c>
      <c r="BM14" s="1203">
        <f>SUBTOTAL(9,BM9:BM13)</f>
        <v>3.4394904458598725E-2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185</v>
      </c>
      <c r="G17" s="743">
        <f>IF(ISNUMBER(IF(D_I="SI",Datos!I17,Datos!I17+Datos!AC17)),IF(D_I="SI",Datos!I17,Datos!I17+Datos!AC17)," - ")</f>
        <v>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122</v>
      </c>
      <c r="AC17" s="240">
        <f>IF(ISNUMBER(Datos!Q17),Datos!Q17," - ")</f>
        <v>0</v>
      </c>
      <c r="AD17" s="374"/>
      <c r="AE17" s="562"/>
      <c r="AF17" s="741">
        <f>IF(ISNUMBER(IF(D_I="SI",Datos!L17,Datos!L17+Datos!AF17)),IF(D_I="SI",Datos!L17,Datos!L17+Datos!AF17)," - ")</f>
        <v>226</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19</v>
      </c>
      <c r="BD17" s="243">
        <f>IF(ISNUMBER(Datos!N17),Datos!N17," - ")</f>
        <v>78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0.74846625766871167</v>
      </c>
      <c r="BH17" s="764">
        <f>IF(ISNUMBER(((IF(D_I="SI",Datos!L17/Datos!K17,(Datos!L17+Datos!AF17)/(Datos!K17+Datos!AE17)))*11)/factor_trimestre),((IF(D_I="SI",Datos!L17/Datos!K17,(Datos!L17+Datos!AF17)/(Datos!K17+Datos!AE17)))*11)/factor_trimestre," - ")</f>
        <v>5.557377049180328</v>
      </c>
      <c r="BI17" s="266">
        <f>IF(ISNUMBER('Resol  Asuntos'!D17/NºAsuntos!G17),'Resol  Asuntos'!D17/NºAsuntos!G17," - ")</f>
        <v>0.15573770491803279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1.7272727272727273</v>
      </c>
      <c r="BH18" s="764">
        <f>IF(ISNUMBER(((IF(D_I="SI",Datos!L18/Datos!K18,(Datos!L18+Datos!AF18)/(Datos!K18+Datos!AE18)))*11)/factor_trimestre),((IF(D_I="SI",Datos!L18/Datos!K18,(Datos!L18+Datos!AF18)/(Datos!K18+Datos!AE18)))*11)/factor_trimestre," - ")</f>
        <v>1.5789473684210524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185</v>
      </c>
      <c r="G23" s="1197">
        <f>SUBTOTAL(9,G16:G22)</f>
        <v>203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141</v>
      </c>
      <c r="AC23" s="1198">
        <f t="shared" si="5"/>
        <v>0</v>
      </c>
      <c r="AD23" s="1198">
        <f t="shared" si="5"/>
        <v>0</v>
      </c>
      <c r="AE23" s="1198">
        <f t="shared" si="5"/>
        <v>0</v>
      </c>
      <c r="AF23" s="1198">
        <f t="shared" si="5"/>
        <v>236</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v>
      </c>
      <c r="BD23" s="1198">
        <f t="shared" si="5"/>
        <v>93</v>
      </c>
      <c r="BE23" s="1198">
        <f t="shared" si="5"/>
        <v>0</v>
      </c>
      <c r="BF23" s="1198">
        <f t="shared" si="5"/>
        <v>0</v>
      </c>
      <c r="BG23" s="1198">
        <f>IF(ISNUMBER(Datos!K23/Datos!J23),Datos!K23/Datos!J23," - ")</f>
        <v>0.81034482758620685</v>
      </c>
      <c r="BH23" s="1202">
        <f>IF(ISNUMBER(((Datos!L23/Datos!K23)*11)/factor_trimestre),((Datos!L23/Datos!K23)*11)/factor_trimestre," - ")</f>
        <v>5.0212765957446814</v>
      </c>
      <c r="BI23" s="1198">
        <f>SUBTOTAL(9,BI16:BI22)</f>
        <v>0.15573770491803279</v>
      </c>
      <c r="BJ23" s="1198">
        <f>SUBTOTAL(9,BJ16:BJ22)</f>
        <v>0</v>
      </c>
      <c r="BK23" s="1198">
        <f>SUBTOTAL(9,BK16:BK22)</f>
        <v>0</v>
      </c>
      <c r="BL23" s="1198">
        <f>IF(ISNUMBER((I23-AB23+L23)/(F23)),(I23-AB23+L23)/(F23)," - ")</f>
        <v>-0.76216216216216215</v>
      </c>
      <c r="BM23" s="1205">
        <f>IF(ISNUMBER((Datos!P23-Datos!Q23)/(Datos!R23-Datos!P23+Datos!Q23)),(Datos!P23-Datos!Q23)/(Datos!R23-Datos!P23+Datos!Q23)," - ")</f>
        <v>0.44444444444444442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186</v>
      </c>
      <c r="G31" s="1117">
        <f t="shared" si="18"/>
        <v>204</v>
      </c>
      <c r="H31" s="1119">
        <f t="shared" si="18"/>
        <v>0</v>
      </c>
      <c r="I31" s="1117">
        <f t="shared" si="18"/>
        <v>0</v>
      </c>
      <c r="J31" s="1119">
        <f t="shared" si="18"/>
        <v>0</v>
      </c>
      <c r="K31" s="1119">
        <f t="shared" si="18"/>
        <v>0</v>
      </c>
      <c r="L31" s="1180">
        <f t="shared" si="18"/>
        <v>0</v>
      </c>
      <c r="M31" s="1180">
        <f t="shared" si="18"/>
        <v>0</v>
      </c>
      <c r="N31" s="1180">
        <f t="shared" si="18"/>
        <v>6</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143</v>
      </c>
      <c r="AC31" s="1118">
        <f t="shared" si="19"/>
        <v>26</v>
      </c>
      <c r="AD31" s="1118">
        <f t="shared" si="19"/>
        <v>0</v>
      </c>
      <c r="AE31" s="1118">
        <f t="shared" si="19"/>
        <v>0</v>
      </c>
      <c r="AF31" s="1125">
        <f t="shared" si="19"/>
        <v>236</v>
      </c>
      <c r="AG31" s="1125">
        <f t="shared" si="19"/>
        <v>0</v>
      </c>
      <c r="AH31" s="1125">
        <f t="shared" si="19"/>
        <v>15</v>
      </c>
      <c r="AI31" s="1125">
        <f t="shared" si="19"/>
        <v>0</v>
      </c>
      <c r="AJ31" s="1118">
        <f t="shared" si="19"/>
        <v>0</v>
      </c>
      <c r="AK31" s="1125">
        <f t="shared" si="19"/>
        <v>0</v>
      </c>
      <c r="AL31" s="1125">
        <f t="shared" si="19"/>
        <v>0</v>
      </c>
      <c r="AM31" s="1125">
        <f t="shared" si="19"/>
        <v>838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43</v>
      </c>
      <c r="BD31" s="1117">
        <f t="shared" si="19"/>
        <v>132</v>
      </c>
      <c r="BE31" s="1117">
        <f t="shared" si="19"/>
        <v>0</v>
      </c>
      <c r="BF31" s="1127">
        <f t="shared" si="19"/>
        <v>0</v>
      </c>
      <c r="BG31" s="1223">
        <f>IF(ISNUMBER(Datos!K31/Datos!J31),Datos!K31/Datos!J31," - ")</f>
        <v>0.75862068965517238</v>
      </c>
      <c r="BH31" s="1223">
        <f>IF(ISNUMBER(((Datos!L31/Datos!K31)*11)/factor_trimestre),((Datos!L31/Datos!K31)*11)/factor_trimestre," - ")</f>
        <v>7.6022727272727275</v>
      </c>
      <c r="BI31" s="1103">
        <f>IF(ISNUMBER(Datos!J31/Datos!I31),Datos!J31/Datos!I31," - ")</f>
        <v>0.59487179487179487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-0.76881720430107525</v>
      </c>
      <c r="BM31" s="1188">
        <f>IF(ISNUMBER((Datos!P31-Datos!Q31+R31)/(Datos!R31-Datos!P31+Datos!Q31-R31)),(Datos!P31-Datos!Q31+R31)/(Datos!R31-Datos!P31+Datos!Q31-R31)," - ")</f>
        <v>4.3586550435865505E-2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95.276439899903906</v>
      </c>
      <c r="G33" s="674">
        <f>IF(ISNUMBER(STDEV(G8:G30)),STDEV(G8:G30),"-")</f>
        <v>93.076517421087985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62.515141023138206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11.646581350029592</v>
      </c>
      <c r="BD33" s="673"/>
      <c r="BE33" s="673">
        <f>IF(ISNUMBER(STDEV(BE8:BE30)),STDEV(BE8:BE30),"-")</f>
        <v>0</v>
      </c>
      <c r="BF33" s="678">
        <f>IF(ISNUMBER(STDEV(BF8:BF30)),STDEV(BF8:BF30),"-")</f>
        <v>0</v>
      </c>
      <c r="BG33" s="1052">
        <f>IF(ISNUMBER(STDEV(BG8:BG30)),STDEV(BG8:BG30),"-")</f>
        <v>0.5858702317881086</v>
      </c>
      <c r="BH33" s="1058">
        <f>IF(ISNUMBER(STDEV(BH8:BH30)),STDEV(BH8:BH30),"-")</f>
        <v>4.411101395617286</v>
      </c>
      <c r="BI33" s="273">
        <f>IF(ISNUMBER(STDEV(BI8:BI30)),STDEV(BI8:BI30),"-")</f>
        <v>8.4142249337821995E-2</v>
      </c>
      <c r="BJ33" s="244" t="str">
        <f>IF(ISNUMBER(BL33/BM33),BL33/BM33," - ")</f>
        <v xml:space="preserve"> - </v>
      </c>
      <c r="BK33" s="709"/>
      <c r="BL33" s="681">
        <f>IF(ISNUMBER(STDEV(BL8:BL30)),STDEV(BL8:BL30),"-")</f>
        <v>0.87528352914442942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D1YxyjdMtYZBrAffW0pVNYL7FXAhhyLkwu3mZVWCmvzRtUKdOAD+V4YcOzePq+nT43QEjoluPRd5kX19XWbIw==" saltValue="wy4KnQZaTCZLCY6+eVxe1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SEGOVIA  Resumenes por Partidos Judiciales  SANTA MARIA LA REAL DE NIEVA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26</v>
      </c>
      <c r="AA12" s="551" t="str">
        <f>IF(ISNUMBER(IF(J_V="SI",Datos!L12,Datos!L12+Datos!AB12)-IF(Monitorios="SI",Datos!CD12,0)),
                          IF(J_V="SI",Datos!L12,Datos!L12+Datos!AB12)-IF(Monitorios="SI",Datos!CD12,0),
                          " - ")</f>
        <v xml:space="preserve"> - </v>
      </c>
      <c r="AB12" s="549"/>
      <c r="AC12" s="549"/>
      <c r="AD12" s="563"/>
      <c r="AE12" s="563">
        <f>IF(ISNUMBER(Datos!R12),Datos!R12," - ")</f>
        <v>812</v>
      </c>
      <c r="AF12" s="693" t="str">
        <f>IF(ISNUMBER(Datos!BV12),Datos!BV12," - ")</f>
        <v xml:space="preserve"> - </v>
      </c>
      <c r="AG12" s="552" t="str">
        <f>IF(ISNUMBER(Datos!DV12),Datos!DV12," - ")</f>
        <v xml:space="preserve"> - </v>
      </c>
      <c r="AH12" s="553"/>
      <c r="AI12" s="554"/>
      <c r="AJ12" s="552">
        <f>IF(ISNUMBER(Datos!M12),Datos!M12," - ")</f>
        <v>24</v>
      </c>
      <c r="AK12" s="693">
        <f>IF(ISNUMBER(Datos!N12),Datos!N12," - ")</f>
        <v>39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10.582677165354331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3.4394904458598725E-2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26</v>
      </c>
      <c r="AA14" s="1199">
        <f t="shared" si="3"/>
        <v>0</v>
      </c>
      <c r="AB14" s="1199">
        <f t="shared" si="3"/>
        <v>0</v>
      </c>
      <c r="AC14" s="1199">
        <f t="shared" si="3"/>
        <v>0</v>
      </c>
      <c r="AD14" s="1199">
        <f t="shared" si="3"/>
        <v>0</v>
      </c>
      <c r="AE14" s="1199">
        <f t="shared" si="3"/>
        <v>812</v>
      </c>
      <c r="AF14" s="1211">
        <f t="shared" si="3"/>
        <v>0</v>
      </c>
      <c r="AG14" s="1211">
        <f t="shared" si="3"/>
        <v>0</v>
      </c>
      <c r="AH14" s="1211">
        <f t="shared" si="3"/>
        <v>0</v>
      </c>
      <c r="AI14" s="1211">
        <f t="shared" si="3"/>
        <v>0</v>
      </c>
      <c r="AJ14" s="1211">
        <f t="shared" si="3"/>
        <v>24</v>
      </c>
      <c r="AK14" s="1211">
        <f t="shared" si="3"/>
        <v>39</v>
      </c>
      <c r="AL14" s="1211">
        <f t="shared" si="3"/>
        <v>0</v>
      </c>
      <c r="AM14" s="1211">
        <f t="shared" si="3"/>
        <v>0</v>
      </c>
      <c r="AN14" s="1211">
        <f t="shared" si="3"/>
        <v>0</v>
      </c>
      <c r="AO14" s="1203">
        <f>IF(ISNUMBER(((NºAsuntos!I14/NºAsuntos!G14)*11)/factor_trimestre),((NºAsuntos!I14/NºAsuntos!G14)*11)/factor_trimestre," - ")</f>
        <v>10.41860465116279</v>
      </c>
      <c r="AP14" s="1213" t="str">
        <f>IF(ISNUMBER(Datos!CI14/Datos!CJ14),Datos!CI14/Datos!CJ14," - ")</f>
        <v xml:space="preserve"> - </v>
      </c>
      <c r="AQ14" s="1236">
        <f t="shared" ref="AQ14:AV14" si="4">SUBTOTAL(9,AQ9:AQ13)</f>
        <v>0</v>
      </c>
      <c r="AR14" s="1236">
        <f t="shared" si="4"/>
        <v>3.4394904458598725E-2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185</v>
      </c>
      <c r="G17" s="552">
        <f>IF(ISNUMBER(IF(D_I="SI",Datos!I17,Datos!I17+Datos!AC17)),IF(D_I="SI",Datos!I17,Datos!I17+Datos!AC17)," - ")</f>
        <v>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122</v>
      </c>
      <c r="Z17" s="805">
        <f>IF(ISNUMBER(Datos!Q17),Datos!Q17," - ")</f>
        <v>0</v>
      </c>
      <c r="AA17" s="551">
        <f>IF(ISNUMBER(IF(D_I="SI",Datos!L17,Datos!L17+Datos!AF17)),IF(D_I="SI",Datos!L17,Datos!L17+Datos!AF17)," - ")</f>
        <v>226</v>
      </c>
      <c r="AB17" s="549"/>
      <c r="AC17" s="549"/>
      <c r="AD17" s="563"/>
      <c r="AE17" s="563">
        <f>IF(ISNUMBER(Datos!R17),Datos!R17," - ")</f>
        <v>26</v>
      </c>
      <c r="AF17" s="693" t="str">
        <f>IF(ISNUMBER(Datos!BV17),Datos!BV17," - ")</f>
        <v xml:space="preserve"> - </v>
      </c>
      <c r="AG17" s="552"/>
      <c r="AH17" s="553"/>
      <c r="AI17" s="554"/>
      <c r="AJ17" s="552">
        <f>IF(ISNUMBER(Datos!M17),Datos!M17," - ")</f>
        <v>19</v>
      </c>
      <c r="AK17" s="693">
        <f>IF(ISNUMBER(Datos!N17),Datos!N17," - ")</f>
        <v>78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5.557377049180328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1.5789473684210524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185</v>
      </c>
      <c r="G23" s="1197">
        <f>SUBTOTAL(9,G16:G22)</f>
        <v>203</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141</v>
      </c>
      <c r="Z23" s="1240">
        <f t="shared" si="6"/>
        <v>0</v>
      </c>
      <c r="AA23" s="1240">
        <f t="shared" si="6"/>
        <v>236</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19</v>
      </c>
      <c r="AK23" s="1240">
        <f t="shared" si="6"/>
        <v>93</v>
      </c>
      <c r="AL23" s="1240">
        <f t="shared" si="6"/>
        <v>0</v>
      </c>
      <c r="AM23" s="1240">
        <f t="shared" si="6"/>
        <v>0</v>
      </c>
      <c r="AN23" s="1240">
        <f t="shared" si="6"/>
        <v>0</v>
      </c>
      <c r="AO23" s="1242">
        <f>IF(ISNUMBER(((NºAsuntos!I23/NºAsuntos!G23)*11)/factor_trimestre),((NºAsuntos!I23/NºAsuntos!G23)*11)/factor_trimestre," - ")</f>
        <v>5.0212765957446814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186</v>
      </c>
      <c r="G31" s="1117">
        <f t="shared" si="12"/>
        <v>204</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143</v>
      </c>
      <c r="Z31" s="1124">
        <f t="shared" si="13"/>
        <v>26</v>
      </c>
      <c r="AA31" s="1125">
        <f t="shared" si="13"/>
        <v>236</v>
      </c>
      <c r="AB31" s="1125">
        <f t="shared" si="13"/>
        <v>0</v>
      </c>
      <c r="AC31" s="1125">
        <f t="shared" si="13"/>
        <v>0</v>
      </c>
      <c r="AD31" s="1126">
        <f t="shared" si="13"/>
        <v>0</v>
      </c>
      <c r="AE31" s="1126">
        <f t="shared" si="13"/>
        <v>838</v>
      </c>
      <c r="AF31" s="1127">
        <f t="shared" si="13"/>
        <v>0</v>
      </c>
      <c r="AG31" s="1128">
        <f t="shared" si="13"/>
        <v>0</v>
      </c>
      <c r="AH31" s="1129">
        <f t="shared" si="13"/>
        <v>0</v>
      </c>
      <c r="AI31" s="1127">
        <f t="shared" si="13"/>
        <v>0</v>
      </c>
      <c r="AJ31" s="1117">
        <f t="shared" si="13"/>
        <v>43</v>
      </c>
      <c r="AK31" s="1117">
        <f t="shared" si="13"/>
        <v>132</v>
      </c>
      <c r="AL31" s="1117">
        <f t="shared" si="13"/>
        <v>0</v>
      </c>
      <c r="AM31" s="1130">
        <f t="shared" si="13"/>
        <v>0</v>
      </c>
      <c r="AN31" s="1120">
        <f>IF(ISNUMBER(Datos!K31/Datos!J31),Datos!K31/Datos!J31," - ")</f>
        <v>0.75862068965517238</v>
      </c>
      <c r="AO31" s="1120">
        <f>IF(ISNUMBER(FIND("06",Criterios!A8,1)),(IF(ISNUMBER(((Datos!R31/Datos!Q31)*11)/factor_trimestre),((Datos!R31/Datos!Q31)*11)/factor_trimestre," - ")),(IF(ISNUMBER(((Datos!L31/Datos!K31)*11)/factor_trimestre),((Datos!L31/Datos!K31)*11)/factor_trimestre," - ")))</f>
        <v>7.6022727272727275</v>
      </c>
      <c r="AP31" s="1131" t="str">
        <f>IF(ISNUMBER(Datos!CI31/Datos!CJ31),Datos!CI31/Datos!CJ31," - ")</f>
        <v xml:space="preserve"> - </v>
      </c>
      <c r="AQ31" s="1131">
        <f>IF(OR(ISNUMBER(FIND("01",Criterios!A8,1)),ISNUMBER(FIND("02",Criterios!A8,1)),ISNUMBER(FIND("03",Criterios!A8,1)),ISNUMBER(FIND("04",Criterios!A8,1))),(J31-Y31+K31)/(F31-K31),(I31-Y31+K31)/(F31-K31))</f>
        <v>-0.76881720430107525</v>
      </c>
      <c r="AR31" s="1131">
        <f>IF(ISNUMBER((Datos!P31-Datos!Q31+O31)/(Datos!R31-Datos!P31+Datos!Q31-O31)),(Datos!P31-Datos!Q31+O31)/(Datos!R31-Datos!P31+Datos!Q31-O31)," - ")</f>
        <v>4.3586550435865505E-2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95.276439899903906</v>
      </c>
      <c r="G33" s="674">
        <f>IF(ISNUMBER(STDEV(G8:G30)),STDEV(G8:G30),"-")</f>
        <v>93.076517421087985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11.646581350029592</v>
      </c>
      <c r="AK33" s="276"/>
      <c r="AL33" s="276">
        <f>IF(ISNUMBER(STDEV(AL8:AL30)),STDEV(AL8:AL30),"-")</f>
        <v>0</v>
      </c>
      <c r="AM33" s="278">
        <f>IF(ISNUMBER(STDEV(AM8:AM30)),STDEV(AM8:AM30),"-")</f>
        <v>0</v>
      </c>
      <c r="AN33" s="660">
        <f>IF(ISNUMBER(STDEV(AN8:AN30)),STDEV(AN8:AN30),"-")</f>
        <v>0</v>
      </c>
      <c r="AO33" s="661">
        <f>IF(ISNUMBER(STDEV(AO8:AO30)),STDEV(AO8:AO30),"-")</f>
        <v>4.3790225747888156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BNJ3XjfAA746Ivw4nxjtZdMa1zQ77hbEEc/e1bVrQA5HBb30xLQKSQgAc5et87QLausxM8YSha4M6hgi4N0alA==" saltValue="F1pQY1hjfocQWXQD2W07+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G0ii/stJEafc0f/kYBXO6IsSEhZM61L4P0rgdoQb/SQMWCQF2mBCqZhG8jFykL7ToxHhncA3XGWLP89uGY0Xg==" saltValue="DbOesQdl3+8iirIDPuwEL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SEGOVIA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yced/OrNnpsna8RMeCu+DdeYqgXcR3Z7wSQThmeryF5nAX13eM4I+8C0/gb/rC+Z1blki5jXUGb2+aYw6K9MQ==" saltValue="J9N1zbVsh7A58nOFKu4V0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SEGOVIA  Resumenes por Partidos Judiciales  SANTA MARIA LA REAL DE NIEVA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0.18604651162790697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0.13155474998819489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EBCZikf9tDxgXbJ6OplgxDcWW2KKjPGndwX8C9LPwoT5d1fy4Z7ec2YwLfDVZ3XMAIXU+EdW/Orh6dfXiXaOAw==" saltValue="2COKpYq1Fil14NEpUb1XQ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baRGzynAK30igF/plXR8u2W1bYE7U1HpOr/aAcgpqxaOurKj+0uNrEJRxnDQem+tmQzrW2tUj6Lv3EO+J/9bw==" saltValue="lSRagM9YV8g0+QPIOY0a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SEGOVIA</v>
      </c>
      <c r="D3" s="436"/>
      <c r="E3" s="436"/>
      <c r="F3" s="436"/>
    </row>
    <row r="4" spans="1:14" ht="13.5" thickBot="1">
      <c r="A4" s="436"/>
      <c r="B4" s="439" t="str">
        <f>Criterios!A11 &amp;"  "&amp;Criterios!B11</f>
        <v>Resumenes por Partidos Judiciales  SANTA MARIA LA REAL DE NIEVA</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1</v>
      </c>
      <c r="F10" s="452">
        <f>IF(ISNUMBER(E10/B10),E10/B10," - ")</f>
        <v>1</v>
      </c>
      <c r="G10" s="451">
        <f>IF(ISNUMBER(Datos!K10),Datos!K10," - ")</f>
        <v>2</v>
      </c>
      <c r="H10" s="452">
        <f>IF(ISNUMBER(G10/B10),G10/B10," - ")</f>
        <v>2</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396</v>
      </c>
      <c r="D12" s="452">
        <f>IF(ISNUMBER(C12/Datos!BH12),C12/Datos!BH12," - ")</f>
        <v>396</v>
      </c>
      <c r="E12" s="451">
        <f>IF(ISNUMBER(IF(J_V="SI",Datos!J12,Datos!J12+Datos!Z12)),IF(J_V="SI",Datos!J12,Datos!J12+Datos!Z12)," - ")</f>
        <v>179</v>
      </c>
      <c r="F12" s="452">
        <f>IF(ISNUMBER(E12/B12),E12/B12," - ")</f>
        <v>179</v>
      </c>
      <c r="G12" s="451">
        <f>IF(ISNUMBER(IF(J_V="SI",Datos!K12,Datos!K12+Datos!AA12)),IF(J_V="SI",Datos!K12,Datos!K12+Datos!AA12)," - ")</f>
        <v>127</v>
      </c>
      <c r="H12" s="452">
        <f>IF(ISNUMBER(G12/B12),G12/B12," - ")</f>
        <v>127</v>
      </c>
      <c r="I12" s="451">
        <f>IF(ISNUMBER(IF(J_V="SI",Datos!L12,Datos!L12+Datos!AB12)),IF(J_V="SI",Datos!L12,Datos!L12+Datos!AB12)," - ")</f>
        <v>448</v>
      </c>
      <c r="J12" s="452">
        <f>IF(ISNUMBER(I12/B12),I12/B12," - ")</f>
        <v>448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397</v>
      </c>
      <c r="D14" s="1147" t="str">
        <f>IF(ISNUMBER(C14/Datos!BI14),C14/Datos!BI14," - ")</f>
        <v xml:space="preserve"> - </v>
      </c>
      <c r="E14" s="1146">
        <f>SUBTOTAL(9,E8:E13)</f>
        <v>180</v>
      </c>
      <c r="F14" s="1147">
        <f>IF(ISNUMBER(E14/B14),E14/B14," - ")</f>
        <v>180</v>
      </c>
      <c r="G14" s="1146">
        <f>SUBTOTAL(9,G8:G13)</f>
        <v>129</v>
      </c>
      <c r="H14" s="1147">
        <f>IF(ISNUMBER(G14/B14),G14/B14," - ")</f>
        <v>129</v>
      </c>
      <c r="I14" s="1146">
        <f>SUBTOTAL(9,I8:I13)</f>
        <v>448</v>
      </c>
      <c r="J14" s="1147">
        <f>IF(ISNUMBER(I14/B14),I14/B14," - ")</f>
        <v>448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185</v>
      </c>
      <c r="D17" s="452">
        <f>IF(ISNUMBER(C17/Datos!BH17),C17/Datos!BH17," - ")</f>
        <v>185</v>
      </c>
      <c r="E17" s="451">
        <f>IF(ISNUMBER(IF(D_I="SI",Datos!J17,Datos!J17+Datos!AD17)),IF(D_I="SI",Datos!J17,Datos!J17+Datos!AD17)," - ")</f>
        <v>163</v>
      </c>
      <c r="F17" s="452">
        <f>IF(ISNUMBER(E17/B17),E17/B17," - ")</f>
        <v>163</v>
      </c>
      <c r="G17" s="451">
        <f>IF(ISNUMBER(IF(D_I="SI",Datos!K17,Datos!K17+Datos!AE17)),IF(D_I="SI",Datos!K17,Datos!K17+Datos!AE17)," - ")</f>
        <v>122</v>
      </c>
      <c r="H17" s="452">
        <f>IF(ISNUMBER(G17/B17),G17/B17," - ")</f>
        <v>122</v>
      </c>
      <c r="I17" s="451">
        <f>IF(ISNUMBER(IF(D_I="SI",Datos!L17,Datos!L17+Datos!AF17)),IF(D_I="SI",Datos!L17,Datos!L17+Datos!AF17)," - ")</f>
        <v>226</v>
      </c>
      <c r="J17" s="452">
        <f>IF(ISNUMBER(I17/B17),I17/B17," - ")</f>
        <v>226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18</v>
      </c>
      <c r="D18" s="452">
        <f>IF(ISNUMBER(C18/Datos!BH18),C18/Datos!BH18," - ")</f>
        <v>18</v>
      </c>
      <c r="E18" s="451">
        <f>IF(ISNUMBER(IF(D_I="SI",Datos!J18,Datos!J18+Datos!AD18)),IF(D_I="SI",Datos!J18,Datos!J18+Datos!AD18)," - ")</f>
        <v>11</v>
      </c>
      <c r="F18" s="452">
        <f>IF(ISNUMBER(E18/B18),E18/B18," - ")</f>
        <v>11</v>
      </c>
      <c r="G18" s="451">
        <f>IF(ISNUMBER(IF(D_I="SI",Datos!K18,Datos!K18+Datos!AE18)),IF(D_I="SI",Datos!K18,Datos!K18+Datos!AE18)," - ")</f>
        <v>19</v>
      </c>
      <c r="H18" s="452">
        <f>IF(ISNUMBER(G18/B18),G18/B18," - ")</f>
        <v>19</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203</v>
      </c>
      <c r="D23" s="1147" t="str">
        <f>IF(ISNUMBER(C23/Datos!BI23),C23/Datos!BI23," - ")</f>
        <v xml:space="preserve"> - </v>
      </c>
      <c r="E23" s="1146">
        <f>SUBTOTAL(9,E15:E22)</f>
        <v>174</v>
      </c>
      <c r="F23" s="1147">
        <f>IF(ISNUMBER(E23/B23),E23/B23," - ")</f>
        <v>174</v>
      </c>
      <c r="G23" s="1146">
        <f>SUBTOTAL(9,G15:G22)</f>
        <v>141</v>
      </c>
      <c r="H23" s="1147">
        <f>IF(ISNUMBER(G23/B23),G23/B23," - ")</f>
        <v>141</v>
      </c>
      <c r="I23" s="1146">
        <f>SUBTOTAL(9,I15:I22)</f>
        <v>236</v>
      </c>
      <c r="J23" s="1147">
        <f>IF(ISNUMBER(I23/B23),I23/B23," - ")</f>
        <v>236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600</v>
      </c>
      <c r="D31" s="1085" t="str">
        <f>IF(ISNUMBER(C31/Datos!BI31),C31/Datos!BI31," - ")</f>
        <v xml:space="preserve"> - </v>
      </c>
      <c r="E31" s="1084">
        <f>SUBTOTAL(9,E9:E30)</f>
        <v>354</v>
      </c>
      <c r="F31" s="1085">
        <f>IF(ISNUMBER(E31/B31),E31/B31," - ")</f>
        <v>354</v>
      </c>
      <c r="G31" s="1084">
        <f>SUBTOTAL(9,G9:G30)</f>
        <v>270</v>
      </c>
      <c r="H31" s="1085">
        <f>IF(ISNUMBER(G31/B31),G31/B31," - ")</f>
        <v>270</v>
      </c>
      <c r="I31" s="1084">
        <f>SUBTOTAL(9,I9:I30)</f>
        <v>684</v>
      </c>
      <c r="J31" s="1085">
        <f>IF(ISNUMBER(I31/B31),I31/B31," - ")</f>
        <v>684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8GnvZ/kpIyt5ysd6ogjSaGmgffs8MA2RAcuHukqAGM6NWyV0DuInkPa2AjmppCrfPIaCU3mIzhzN0bpUIBZ0+g==" saltValue="rUMhZLNjEnGZcsl896fFU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SEGOVIA  Resumenes por Partidos Judiciales  SANTA MARIA LA REAL DE NIEVA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812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24</v>
      </c>
      <c r="AM12" s="914">
        <f>IF(ISNUMBER(Datos!N12+DatosP!N17),Datos!N12+DatosP!N17," - ")</f>
        <v>39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10.582677165354331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3.4394904458598725E-2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26</v>
      </c>
      <c r="AE14" s="1257">
        <f t="shared" si="1"/>
        <v>0</v>
      </c>
      <c r="AF14" s="1257">
        <f t="shared" si="1"/>
        <v>0</v>
      </c>
      <c r="AG14" s="1257">
        <f t="shared" si="1"/>
        <v>0</v>
      </c>
      <c r="AH14" s="1257">
        <f t="shared" si="1"/>
        <v>812</v>
      </c>
      <c r="AI14" s="1257">
        <f t="shared" si="1"/>
        <v>0</v>
      </c>
      <c r="AJ14" s="1257">
        <f t="shared" si="1"/>
        <v>0</v>
      </c>
      <c r="AK14" s="1257">
        <f t="shared" si="1"/>
        <v>0</v>
      </c>
      <c r="AL14" s="1257">
        <f t="shared" si="1"/>
        <v>24</v>
      </c>
      <c r="AM14" s="1257">
        <f t="shared" si="1"/>
        <v>39</v>
      </c>
      <c r="AN14" s="1257">
        <f t="shared" si="1"/>
        <v>0</v>
      </c>
      <c r="AO14" s="1257">
        <f t="shared" si="1"/>
        <v>0</v>
      </c>
      <c r="AP14" s="1262">
        <f>IF(ISNUMBER(((Datos!L14/Datos!K14)*11)/factor_trimestre),((Datos!L14/Datos!K14)*11)/factor_trimestre," - ")</f>
        <v>10.560975609756099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-2</v>
      </c>
      <c r="AU14" s="1257" t="str">
        <f>IF(ISNUMBER((DatosP!#REF!-DatosP!#REF!+DatosP!#REF!)/(DatosP!#REF!+DatosP!#REF!-DatosP!#REF!-DatosP!#REF!)),(DatosP!#REF!-DatosP!#REF!+DatosP!#REF!)/(DatosP!#REF!+DatosP!#REF!-DatosP!#REF!-DatosP!#REF!)," - ")</f>
        <v xml:space="preserve"> - </v>
      </c>
      <c r="AV14" s="1263">
        <f>SUBTOTAL(9,AV9:AV13)</f>
        <v>3.4394904458598725E-2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5.0212765957446814</v>
      </c>
      <c r="AQ23" s="1262">
        <f>IF(ISNUMBER(((Datos!M23/Datos!L23)*11)/factor_trimestre),((Datos!M23/Datos!L23)*11)/factor_trimestre," - ")</f>
        <v>0.24152542372881355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0.44444444444444442</v>
      </c>
      <c r="AW23" s="1265">
        <f>IF(ISNUMBER((Datos!Q23-Datos!R23)/(Datos!S23-Datos!Q23+Datos!R23)),(Datos!Q23-Datos!R23)/(Datos!S23-Datos!Q23+Datos!R23)," - ")</f>
        <v>-0.11764705882352941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26</v>
      </c>
      <c r="AE31" s="1284">
        <f t="shared" si="9"/>
        <v>0</v>
      </c>
      <c r="AF31" s="1285">
        <f t="shared" si="9"/>
        <v>0</v>
      </c>
      <c r="AG31" s="1285">
        <f t="shared" si="9"/>
        <v>0</v>
      </c>
      <c r="AH31" s="1285">
        <f t="shared" si="9"/>
        <v>812</v>
      </c>
      <c r="AI31" s="1285">
        <f t="shared" si="9"/>
        <v>0</v>
      </c>
      <c r="AJ31" s="1286">
        <f t="shared" si="9"/>
        <v>0</v>
      </c>
      <c r="AK31" s="1286">
        <f t="shared" si="9"/>
        <v>0</v>
      </c>
      <c r="AL31" s="1278">
        <f t="shared" si="9"/>
        <v>24</v>
      </c>
      <c r="AM31" s="1278">
        <f t="shared" si="9"/>
        <v>39</v>
      </c>
      <c r="AN31" s="1278">
        <f t="shared" si="9"/>
        <v>0</v>
      </c>
      <c r="AO31" s="1278">
        <f t="shared" si="9"/>
        <v>0</v>
      </c>
      <c r="AP31" s="1278">
        <f>IF(ISNUMBER(((Datos!L31/Datos!K31)*11)/factor_trimestre),((Datos!L31/Datos!K31)*11)/factor_trimestre," - ")</f>
        <v>7.6022727272727275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4.3586550435865505E-2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12.393546707863734</v>
      </c>
      <c r="AM33" s="1006"/>
      <c r="AN33" s="1006">
        <f>IF(ISNUMBER(STDEV(AN8:AN30)),STDEV(AN8:AN30),"-")</f>
        <v>0</v>
      </c>
      <c r="AO33" s="1012">
        <f>IF(ISNUMBER(STDEV(AO8:AO30)),STDEV(AO8:AO30),"-")</f>
        <v>0</v>
      </c>
      <c r="AP33" s="1065">
        <f>IF(ISNUMBER(STDEV(AP8:AP30)),STDEV(AP8:AP30),"-")</f>
        <v>5.0855874200689053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kx8j3RLAYyW8gzt8phNknD9LTx55zSBlivZ08ztMjQyg/7SFSPcy51iO7QOzMIZFVg9KRJMuATtnw+KwMr8fUg==" saltValue="S2wQpk22vgOGH05sfKTlU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SEGOVIA</v>
      </c>
      <c r="C3" s="463"/>
      <c r="F3" s="436"/>
      <c r="G3" s="436"/>
      <c r="H3" s="436"/>
    </row>
    <row r="4" spans="1:15" ht="13.5" thickBot="1">
      <c r="A4" s="436"/>
      <c r="B4" s="439" t="str">
        <f>Criterios!A11 &amp;"  "&amp;Criterios!B11</f>
        <v>Resumenes por Partidos Judiciales  SANTA MARIA LA REAL DE NIEVA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pQPaZ84vJUBkMxqJsxVn+7vhlIfaoOd0ShPsxn/pOwjogQyGNJ9/d6twnaGeIgZqUv6OnyBwIUWzTA3Ysa1Fiw==" saltValue="e5EtUQu5oaSpydCz1X55m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SEGOVIA</v>
      </c>
      <c r="C3" s="475"/>
      <c r="D3" s="476"/>
    </row>
    <row r="4" spans="1:9" ht="13.5" thickBot="1">
      <c r="B4" s="477" t="str">
        <f>Criterios!A11 &amp;"  "&amp;Criterios!B11</f>
        <v>Resumenes por Partidos Judiciales  SANTA MARIA LA REAL DE NIEVA</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24</v>
      </c>
      <c r="E12" s="452">
        <f t="shared" si="0"/>
        <v>24</v>
      </c>
      <c r="F12" s="451">
        <f>IF(ISNUMBER(Datos!N12),Datos!N12," - ")</f>
        <v>39</v>
      </c>
      <c r="G12" s="452">
        <f t="shared" si="1"/>
        <v>39</v>
      </c>
      <c r="H12" s="451">
        <f>IF(ISNUMBER(Datos!O12),Datos!O12," - ")</f>
        <v>74</v>
      </c>
      <c r="I12" s="452">
        <f t="shared" si="2"/>
        <v>74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24</v>
      </c>
      <c r="E14" s="1147">
        <f t="shared" si="0"/>
        <v>12</v>
      </c>
      <c r="F14" s="1146">
        <f>SUBTOTAL(9,F9:F13)</f>
        <v>39</v>
      </c>
      <c r="G14" s="1147">
        <f t="shared" si="1"/>
        <v>19.5</v>
      </c>
      <c r="H14" s="1146">
        <f>SUBTOTAL(9,H9:H13)</f>
        <v>74</v>
      </c>
      <c r="I14" s="1147">
        <f>IF(ISNUMBER(H14/B14),H14/B14," - ")</f>
        <v>37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19</v>
      </c>
      <c r="E17" s="452">
        <f t="shared" si="3"/>
        <v>19</v>
      </c>
      <c r="F17" s="451">
        <f>IF(ISNUMBER(Datos!N17),Datos!N17," - ")</f>
        <v>78</v>
      </c>
      <c r="G17" s="452">
        <f t="shared" si="4"/>
        <v>78</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15</v>
      </c>
      <c r="G18" s="452">
        <f>IF(ISNUMBER(F18/B18),F18/B18," - ")</f>
        <v>15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19</v>
      </c>
      <c r="E23" s="1147">
        <f t="shared" si="3"/>
        <v>9.5</v>
      </c>
      <c r="F23" s="1146">
        <f>SUBTOTAL(9,F16:F22)</f>
        <v>93</v>
      </c>
      <c r="G23" s="1147">
        <f t="shared" si="4"/>
        <v>46.5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43</v>
      </c>
      <c r="E31" s="1085">
        <f>IF(ISNUMBER(D31/B31),D31/B31," - ")</f>
        <v>43</v>
      </c>
      <c r="F31" s="1084">
        <f>SUBTOTAL(9,F8:F30)</f>
        <v>132</v>
      </c>
      <c r="G31" s="1085">
        <f>IF(ISNUMBER(F31/B31),F31/B31," - ")</f>
        <v>132</v>
      </c>
      <c r="H31" s="1084">
        <f>SUBTOTAL(9,H8:H30)</f>
        <v>74</v>
      </c>
      <c r="I31" s="1085">
        <f>IF(ISNUMBER(H31/B31),H31/B31," - ")</f>
        <v>74</v>
      </c>
    </row>
    <row r="34" spans="1:1">
      <c r="A34" s="439" t="str">
        <f>Criterios!A4</f>
        <v>Fecha Informe: 05 may. 2023</v>
      </c>
    </row>
    <row r="39" spans="1:1">
      <c r="A39" s="462"/>
    </row>
  </sheetData>
  <sheetProtection algorithmName="SHA-512" hashValue="VvbQVXH9nCXl+5zH5fecTxBU1AG3c/EC36HOKXGRfeRECv1M0GPc4owZ1lC3/4TOMex7m1LojFIhKX7Xb8QhUg==" saltValue="MwvdbTUltElql0HF+Vtd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SEGOVIA</v>
      </c>
    </row>
    <row r="4" spans="1:4" ht="13.5" thickBot="1">
      <c r="B4" s="439" t="str">
        <f>Criterios!A11 &amp;"  "&amp;Criterios!B11</f>
        <v>Resumenes por Partidos Judiciales  SANTA MARIA LA REAL DE NIEVA</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26</v>
      </c>
      <c r="D12" s="456">
        <f>IF(ISNUMBER(Datos!R12),Datos!R12," - ")</f>
        <v>812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26</v>
      </c>
      <c r="D14" s="1148">
        <f>SUBTOTAL(9,D9:D13)</f>
        <v>812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0</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0</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26</v>
      </c>
      <c r="D31" s="1090">
        <f>SUBTOTAL(9,D8:D30)</f>
        <v>838</v>
      </c>
    </row>
    <row r="32" spans="1:4" ht="7.5" customHeight="1"/>
    <row r="33" spans="1:1" ht="6" customHeight="1"/>
    <row r="34" spans="1:1">
      <c r="A34" s="439" t="str">
        <f>Criterios!A4</f>
        <v>Fecha Informe: 05 may. 2023</v>
      </c>
    </row>
    <row r="39" spans="1:1">
      <c r="A39" s="462"/>
    </row>
  </sheetData>
  <sheetProtection algorithmName="SHA-512" hashValue="O2YKLYq6TNEkZj/XmS371wrM212GfDxZj3iBr6Uk9jMXV2HEh310IGqJfkowqMFzv0VtWk6tb44/ZP8UBm5ErA==" saltValue="qEj4mu67++Om7pMRUM3Uf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SEGOVIA</v>
      </c>
    </row>
    <row r="4" spans="1:11" ht="10.5" customHeight="1" thickBot="1">
      <c r="B4" s="439" t="str">
        <f>Criterios!A11 &amp;"  "&amp;Criterios!B11</f>
        <v>Resumenes por Partidos Judiciales  SANTA MARIA LA REAL DE NIEVA</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0.82488479262672809</v>
      </c>
      <c r="C12" s="515">
        <f>IF(ISNUMBER(
   IF(J_V="SI",(Datos!J12-Datos!T12)/Datos!T12,(Datos!J12+Datos!Z12-(Datos!T12+Datos!AH12))/(Datos!T12+Datos!AH12))
     ),IF(J_V="SI",(Datos!J12-Datos!T12)/Datos!T12,(Datos!J12+Datos!Z12-(Datos!T12+Datos!AH12))/(Datos!T12+Datos!AH12))," - ")</f>
        <v>0.86458333333333337</v>
      </c>
      <c r="D12" s="515">
        <f>IF(ISNUMBER(
   IF(J_V="SI",(Datos!K12-Datos!U12)/Datos!U12,(Datos!K12+Datos!AA12-(Datos!U12+Datos!AI12))/(Datos!U12+Datos!AI12))
     ),IF(J_V="SI",(Datos!K12-Datos!U12)/Datos!U12,(Datos!K12+Datos!AA12-(Datos!U12+Datos!AI12))/(Datos!U12+Datos!AI12))," - ")</f>
        <v>0.14414414414414414</v>
      </c>
      <c r="E12" s="515">
        <f>IF(ISNUMBER(
   IF(J_V="SI",(Datos!L12-Datos!V12)/Datos!V12,(Datos!L12+Datos!AB12-(Datos!V12+Datos!AJ12))/(Datos!V12+Datos!AJ12))
     ),IF(J_V="SI",(Datos!L12-Datos!V12)/Datos!V12,(Datos!L12+Datos!AB12-(Datos!V12+Datos!AJ12))/(Datos!V12+Datos!AJ12))," - ")</f>
        <v>0.89029535864978904</v>
      </c>
      <c r="F12" s="515">
        <f>IF(ISNUMBER((Datos!M12-Datos!W12)/Datos!W12),(Datos!M12-Datos!W12)/Datos!W12," - ")</f>
        <v>-0.17241379310344829</v>
      </c>
      <c r="G12" s="516">
        <f>IF(ISNUMBER((Datos!N12-Datos!X12)/Datos!X12),(Datos!N12-Datos!X12)/Datos!X12," - ")</f>
        <v>2.6315789473684209E-2</v>
      </c>
      <c r="H12" s="514">
        <f>IF(ISNUMBER(((NºAsuntos!G12/NºAsuntos!E12)-Datos!BD12)/Datos!BD12),((NºAsuntos!G12/NºAsuntos!E12)-Datos!BD12)/Datos!BD12," - ")</f>
        <v>-0.38638079420202326</v>
      </c>
      <c r="I12" s="515">
        <f>IF(ISNUMBER(((NºAsuntos!I12/NºAsuntos!G12)-Datos!BE12)/Datos!BE12),((NºAsuntos!I12/NºAsuntos!G12)-Datos!BE12)/Datos!BE12," - ")</f>
        <v>0.65214791189076049</v>
      </c>
      <c r="J12" s="521">
        <f>IF(ISNUMBER((('Resol  Asuntos'!D12/NºAsuntos!G12)-Datos!BF12)/Datos!BF12),(('Resol  Asuntos'!D12/NºAsuntos!G12)-Datos!BF12)/Datos!BF12," - ")</f>
        <v>-0.44799005387484458</v>
      </c>
      <c r="K12" s="522">
        <f>IF(ISNUMBER((((NºAsuntos!C12+NºAsuntos!E12)/NºAsuntos!G12)-Datos!BG12)/Datos!BG12),(((NºAsuntos!C12+NºAsuntos!E12)/NºAsuntos!G12)-Datos!BG12)/Datos!BG12," - ")</f>
        <v>0.6056199844029081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0.82110091743119262</v>
      </c>
      <c r="C14" s="1152">
        <f>IF(ISNUMBER(
   IF(J_V="SI",(Datos!J14-Datos!T14)/Datos!T14,(Datos!J14+Datos!Z14-(Datos!T14+Datos!AH14))/(Datos!T14+Datos!AH14))
     ),IF(J_V="SI",(Datos!J14-Datos!T14)/Datos!T14,(Datos!J14+Datos!Z14-(Datos!T14+Datos!AH14))/(Datos!T14+Datos!AH14))," - ")</f>
        <v>0.875</v>
      </c>
      <c r="D14" s="1152">
        <f>IF(ISNUMBER(
   IF(J_V="SI",(Datos!K14-Datos!U14)/Datos!U14,(Datos!K14+Datos!AA14-(Datos!U14+Datos!AI14))/(Datos!U14+Datos!AI14))
     ),IF(J_V="SI",(Datos!K14-Datos!U14)/Datos!U14,(Datos!K14+Datos!AA14-(Datos!U14+Datos!AI14))/(Datos!U14+Datos!AI14))," - ")</f>
        <v>0.16216216216216217</v>
      </c>
      <c r="E14" s="1152">
        <f>IF(ISNUMBER(
   IF(J_V="SI",(Datos!L14-Datos!V14)/Datos!V14,(Datos!L14+Datos!AB14-(Datos!V14+Datos!AJ14))/(Datos!V14+Datos!AJ14))
     ),IF(J_V="SI",(Datos!L14-Datos!V14)/Datos!V14,(Datos!L14+Datos!AB14-(Datos!V14+Datos!AJ14))/(Datos!V14+Datos!AJ14))," - ")</f>
        <v>0.88235294117647056</v>
      </c>
      <c r="F14" s="1153">
        <f>IF(ISNUMBER((Datos!M14-Datos!W14)/Datos!W14),(Datos!M14-Datos!W14)/Datos!W14," - ")</f>
        <v>-0.17241379310344829</v>
      </c>
      <c r="G14" s="1154">
        <f>IF(ISNUMBER((Datos!N14-Datos!X14)/Datos!X14),(Datos!N14-Datos!X14)/Datos!X14," - ")</f>
        <v>2.6315789473684209E-2</v>
      </c>
      <c r="H14" s="1154">
        <f>IF(ISNUMBER(((NºAsuntos!G14/NºAsuntos!E14)-Datos!BD14)/Datos!BD14),((NºAsuntos!G14/NºAsuntos!E14)-Datos!BD14)/Datos!BD14," - ")</f>
        <v>-0.38018018018018018</v>
      </c>
      <c r="I14" s="1154">
        <f>IF(ISNUMBER(((NºAsuntos!I14/NºAsuntos!G14)-Datos!BE14)/Datos!BE14),((NºAsuntos!I14/NºAsuntos!G14)-Datos!BE14)/Datos!BE14," - ")</f>
        <v>0.61969904240766083</v>
      </c>
      <c r="J14" s="1154">
        <f>IF(ISNUMBER((('Resol  Asuntos'!D14/NºAsuntos!G14)-Datos!BF14)/Datos!BF14),(('Resol  Asuntos'!D14/NºAsuntos!G14)-Datos!BF14)/Datos!BF14," - ")</f>
        <v>-0.45654834761321911</v>
      </c>
      <c r="K14" s="1154">
        <f>IF(ISNUMBER((((NºAsuntos!C14+NºAsuntos!E14)/NºAsuntos!G14)-Datos!BG14)/Datos!BG14),(((NºAsuntos!C14+NºAsuntos!E14)/NºAsuntos!G14)-Datos!BG14)/Datos!BG14," - ")</f>
        <v>0.58117315953192117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1.6483516483516484E-2</v>
      </c>
      <c r="C17" s="515">
        <f>IF(ISNUMBER(
   IF(D_I="SI",(Datos!J17-Datos!T17)/Datos!T17,(Datos!J17+Datos!AD17-(Datos!T17+Datos!AL17))/(Datos!T17+Datos!AL17))
     ),IF(D_I="SI",(Datos!J17-Datos!T17)/Datos!T17,(Datos!J17+Datos!AD17-(Datos!T17+Datos!AL17))/(Datos!T17+Datos!AL17))," - ")</f>
        <v>0.55238095238095242</v>
      </c>
      <c r="D17" s="515">
        <f>IF(ISNUMBER(
   IF(D_I="SI",(Datos!K17-Datos!U17)/Datos!U17,(Datos!K17+Datos!AE17-(Datos!U17+Datos!AM17))/(Datos!U17+Datos!AM17))
     ),IF(D_I="SI",(Datos!K17-Datos!U17)/Datos!U17,(Datos!K17+Datos!AE17-(Datos!U17+Datos!AM17))/(Datos!U17+Datos!AM17))," - ")</f>
        <v>2.5210084033613446E-2</v>
      </c>
      <c r="E17" s="515">
        <f>IF(ISNUMBER(
   IF(D_I="SI",(Datos!L17-Datos!V17)/Datos!V17,(Datos!L17+Datos!AF17-(Datos!V17+Datos!AN17))/(Datos!V17+Datos!AN17))
     ),IF(D_I="SI",(Datos!L17-Datos!V17)/Datos!V17,(Datos!L17+Datos!AF17-(Datos!V17+Datos!AN17))/(Datos!V17+Datos!AN17))," - ")</f>
        <v>0.30635838150289019</v>
      </c>
      <c r="F17" s="515">
        <f>IF(ISNUMBER((Datos!M17-Datos!W17)/Datos!W17),(Datos!M17-Datos!W17)/Datos!W17," - ")</f>
        <v>0.11764705882352941</v>
      </c>
      <c r="G17" s="516">
        <f>IF(ISNUMBER((Datos!N17-Datos!X17)/Datos!X17),(Datos!N17-Datos!X17)/Datos!X17," - ")</f>
        <v>6.8493150684931503E-2</v>
      </c>
      <c r="H17" s="514">
        <f>IF(ISNUMBER(((NºAsuntos!G17/NºAsuntos!E17)-Datos!BD17)/Datos!BD17),((NºAsuntos!G17/NºAsuntos!E17)-Datos!BD17)/Datos!BD17," - ")</f>
        <v>-0.33958859617466614</v>
      </c>
      <c r="I17" s="515">
        <f>IF(ISNUMBER(((NºAsuntos!I17/NºAsuntos!G17)-Datos!BE17)/Datos!BE17),((NºAsuntos!I17/NºAsuntos!G17)-Datos!BE17)/Datos!BE17," - ")</f>
        <v>0.27423481474462247</v>
      </c>
      <c r="J17" s="521">
        <f>IF(ISNUMBER((('Resol  Asuntos'!D17/NºAsuntos!G17)-Datos!BF17)/Datos!BF17),(('Resol  Asuntos'!D17/NºAsuntos!G17)-Datos!BF17)/Datos!BF17," - ")</f>
        <v>9.0163934426229608E-2</v>
      </c>
      <c r="K17" s="522">
        <f>IF(ISNUMBER((((NºAsuntos!C17+NºAsuntos!E17)/NºAsuntos!G17)-Datos!BG17)/Datos!BG17),(((NºAsuntos!C17+NºAsuntos!E17)/NºAsuntos!G17)-Datos!BG17)/Datos!BG17," - ")</f>
        <v>0.18272690923630558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0.38461538461538464</v>
      </c>
      <c r="C18" s="515">
        <f>IF(ISNUMBER(
   IF(D_I="SI",(Datos!J18-Datos!T18)/Datos!T18,(Datos!J18+Datos!AD18-(Datos!T18+Datos!AL18))/(Datos!T18+Datos!AL18))
     ),IF(D_I="SI",(Datos!J18-Datos!T18)/Datos!T18,(Datos!J18+Datos!AD18-(Datos!T18+Datos!AL18))/(Datos!T18+Datos!AL18))," - ")</f>
        <v>0.375</v>
      </c>
      <c r="D18" s="515">
        <f>IF(ISNUMBER(
   IF(D_I="SI",(Datos!K18-Datos!U18)/Datos!U18,(Datos!K18+Datos!AE18-(Datos!U18+Datos!AM18))/(Datos!U18+Datos!AM18))
     ),IF(D_I="SI",(Datos!K18-Datos!U18)/Datos!U18,(Datos!K18+Datos!AE18-(Datos!U18+Datos!AM18))/(Datos!U18+Datos!AM18))," - ")</f>
        <v>2.1666666666666665</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-1</v>
      </c>
      <c r="G18" s="516">
        <f>IF(ISNUMBER((Datos!N18-Datos!X18)/Datos!X18),(Datos!N18-Datos!X18)/Datos!X18," - ")</f>
        <v>6.5</v>
      </c>
      <c r="H18" s="514">
        <f>IF(ISNUMBER(((NºAsuntos!G18/NºAsuntos!E18)-Datos!BD18)/Datos!BD18),((NºAsuntos!G18/NºAsuntos!E18)-Datos!BD18)/Datos!BD18," - ")</f>
        <v>1.303030303030303</v>
      </c>
      <c r="I18" s="515">
        <f>IF(ISNUMBER(((NºAsuntos!I18/NºAsuntos!G18)-Datos!BE18)/Datos!BE18),((NºAsuntos!I18/NºAsuntos!G18)-Datos!BE18)/Datos!BE18," - ")</f>
        <v>-0.78947368421052633</v>
      </c>
      <c r="J18" s="521">
        <f>IF(ISNUMBER((('Resol  Asuntos'!D18/NºAsuntos!G18)-Datos!BF18)/Datos!BF18),(('Resol  Asuntos'!D18/NºAsuntos!G18)-Datos!BF18)/Datos!BF18," - ")</f>
        <v>-1</v>
      </c>
      <c r="K18" s="522">
        <f>IF(ISNUMBER((((NºAsuntos!C18+NºAsuntos!E18)/NºAsuntos!G18)-Datos!BG18)/Datos!BG18),(((NºAsuntos!C18+NºAsuntos!E18)/NºAsuntos!G18)-Datos!BG18)/Datos!BG18," - ")</f>
        <v>-0.56390977443609025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4.1025641025641026E-2</v>
      </c>
      <c r="C23" s="1152">
        <f>IF(ISNUMBER(
   IF(Criterios!B14="SI",(Datos!J23-Datos!T23)/Datos!T23,(Datos!J23+Datos!AD23-(Datos!T23+Datos!AL23))/(Datos!T23+Datos!AL23))
     ),IF(Criterios!B14="SI",(Datos!J23-Datos!T23)/Datos!T23,(Datos!J23+Datos!AD23-(Datos!T23+Datos!AL23))/(Datos!T23+Datos!AL23))," - ")</f>
        <v>0.53982300884955747</v>
      </c>
      <c r="D23" s="1152">
        <f>IF(ISNUMBER(
   IF(Criterios!B14="SI",(Datos!K23-Datos!U23)/Datos!U23,(Datos!K23+Datos!AE23-(Datos!U23+Datos!AM23))/(Datos!U23+Datos!AM23))
     ),IF(Criterios!B14="SI",(Datos!K23-Datos!U23)/Datos!U23,(Datos!K23+Datos!AE23-(Datos!U23+Datos!AM23))/(Datos!U23+Datos!AM23))," - ")</f>
        <v>0.128</v>
      </c>
      <c r="E23" s="1152">
        <f>IF(ISNUMBER(
   IF(Criterios!B14="SI",(Datos!L23-Datos!V23)/Datos!V23,(Datos!L23+Datos!AF23-(Datos!V23+Datos!AN23))/(Datos!V23+Datos!AN23))
     ),IF(Criterios!B14="SI",(Datos!L23-Datos!V23)/Datos!V23,(Datos!L23+Datos!AF23-(Datos!V23+Datos!AN23))/(Datos!V23+Datos!AN23))," - ")</f>
        <v>0.25531914893617019</v>
      </c>
      <c r="F23" s="1153">
        <f>IF(ISNUMBER((Datos!M23-Datos!W23)/Datos!W23),(Datos!M23-Datos!W23)/Datos!W23," - ")</f>
        <v>5.5555555555555552E-2</v>
      </c>
      <c r="G23" s="1154">
        <f>IF(ISNUMBER((Datos!N23-Datos!X23)/Datos!X23),(Datos!N23-Datos!X23)/Datos!X23," - ")</f>
        <v>0.24</v>
      </c>
      <c r="H23" s="1154">
        <f>IF(ISNUMBER(((NºAsuntos!G23/NºAsuntos!E23)-Datos!BD23)/Datos!BD23),((NºAsuntos!G23/NºAsuntos!E23)-Datos!BD23)/Datos!BD23," - ")</f>
        <v>-0.26744827586206898</v>
      </c>
      <c r="I23" s="1154">
        <f>IF(ISNUMBER(((NºAsuntos!I23/NºAsuntos!G23)-Datos!BE23)/Datos!BE23),((NºAsuntos!I23/NºAsuntos!G23)-Datos!BE23)/Datos!BE23," - ")</f>
        <v>0.11287158593632109</v>
      </c>
      <c r="J23" s="1154">
        <f>IF(ISNUMBER((('Resol  Asuntos'!D23/NºAsuntos!G23)-Datos!BF23)/Datos!BF23),(('Resol  Asuntos'!D23/NºAsuntos!G23)-Datos!BF23)/Datos!BF23," - ")</f>
        <v>-6.4223798266351384E-2</v>
      </c>
      <c r="K23" s="1154">
        <f>IF(ISNUMBER((((NºAsuntos!C23+NºAsuntos!E23)/NºAsuntos!G23)-Datos!BG23)/Datos!BG23),(((NºAsuntos!C23+NºAsuntos!E23)/NºAsuntos!G23)-Datos!BG23)/Datos!BG23," - ")</f>
        <v>8.5129409597494793E-2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0.45278450363196127</v>
      </c>
      <c r="C31" s="1092">
        <f>IF(ISNUMBER(
   IF(J_V="SI",(Datos!J31-Datos!T31)/Datos!T31,(Datos!J31+Datos!Z31-(Datos!T31+Datos!AH31))/(Datos!T31+Datos!AH31))
     ),IF(J_V="SI",(Datos!J31-Datos!T31)/Datos!T31,(Datos!J31+Datos!Z31-(Datos!T31+Datos!AH31))/(Datos!T31+Datos!AH31))," - ")</f>
        <v>0.69377990430622005</v>
      </c>
      <c r="D31" s="1092">
        <f>IF(ISNUMBER(
   IF(J_V="SI",(Datos!K31-Datos!U31)/Datos!U31,(Datos!K31+Datos!AA31-(Datos!U31+Datos!AI31))/(Datos!U31+Datos!AI31))
     ),IF(J_V="SI",(Datos!K31-Datos!U31)/Datos!U31,(Datos!K31+Datos!AA31-(Datos!U31+Datos!AI31))/(Datos!U31+Datos!AI31))," - ")</f>
        <v>0.1440677966101695</v>
      </c>
      <c r="E31" s="1092">
        <f>IF(ISNUMBER(
   IF(J_V="SI",(Datos!L31-Datos!V31)/Datos!V31,(Datos!L31+Datos!AB31-(Datos!V31+Datos!AJ31))/(Datos!V31+Datos!AJ31))
     ),IF(J_V="SI",(Datos!L31-Datos!V31)/Datos!V31,(Datos!L31+Datos!AB31-(Datos!V31+Datos!AJ31))/(Datos!V31+Datos!AJ31))," - ")</f>
        <v>0.60563380281690138</v>
      </c>
      <c r="F31" s="1093">
        <f>IF(ISNUMBER((Datos!M31-Datos!W31)/Datos!W31),(Datos!M31-Datos!W31)/Datos!W31," - ")</f>
        <v>-8.5106382978723402E-2</v>
      </c>
      <c r="G31" s="1094">
        <f>IF(ISNUMBER((Datos!N31-Datos!X31)/Datos!X31),(Datos!N31-Datos!X31)/Datos!X31," - ")</f>
        <v>0.16814159292035399</v>
      </c>
      <c r="H31" s="1095">
        <f>IF(ISNUMBER((Tasas!B31-Datos!BD31)/Datos!BD31),(Tasas!B31-Datos!BD31)/Datos!BD31," - ")</f>
        <v>-0.32454754380925016</v>
      </c>
      <c r="I31" s="1096">
        <f>IF(ISNUMBER((Tasas!C31-Datos!BE31)/Datos!BE31),(Tasas!C31-Datos!BE31)/Datos!BE31," - ")</f>
        <v>0.40344287949921742</v>
      </c>
      <c r="J31" s="1097">
        <f>IF(ISNUMBER((Tasas!D31-Datos!BF31)/Datos!BF31),(Tasas!D31-Datos!BF31)/Datos!BF31," - ")</f>
        <v>-0.32883597883597881</v>
      </c>
      <c r="K31" s="1097">
        <f>IF(ISNUMBER((Tasas!E31-Datos!BG31)/Datos!BG31),(Tasas!E31-Datos!BG31)/Datos!BG31," - ")</f>
        <v>0.34062165058949617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9shLAvPHmsEN/URq98aKgB6w1NHvG65NVVdKPc4xeAXSI6WMSUGHu/2x4DERPJ5QLPCPa6f2uFOhdS4eFu/wQ==" saltValue="hd6r6s9YmaEu8iUJcdjA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SEGOVIA</v>
      </c>
    </row>
    <row r="4" spans="1:7" ht="11.25" customHeight="1" thickBot="1">
      <c r="B4" s="439" t="str">
        <f>Criterios!A11 &amp;"  "&amp;Criterios!B11</f>
        <v>Resumenes por Partidos Judiciales  SANTA MARIA LA REAL DE NIEVA</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0.70949720670391059</v>
      </c>
      <c r="C12" s="498">
        <f>IF(ISNUMBER(NºAsuntos!I12/NºAsuntos!G12),NºAsuntos!I12/NºAsuntos!G12," - ")</f>
        <v>3.5275590551181102</v>
      </c>
      <c r="D12" s="499">
        <f>IF(ISNUMBER('Resol  Asuntos'!D12/NºAsuntos!G12),'Resol  Asuntos'!D12/NºAsuntos!G12," - ")</f>
        <v>0.1889763779527559</v>
      </c>
      <c r="E12" s="500">
        <f>IF(ISNUMBER((NºAsuntos!C12+NºAsuntos!E12)/NºAsuntos!G12),(NºAsuntos!C12+NºAsuntos!E12)/NºAsuntos!G12," - ")</f>
        <v>4.5275590551181102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0.71666666666666667</v>
      </c>
      <c r="C14" s="1156">
        <f>IF(ISNUMBER(NºAsuntos!I14/NºAsuntos!G14),NºAsuntos!I14/NºAsuntos!G14," - ")</f>
        <v>3.4728682170542635</v>
      </c>
      <c r="D14" s="1157">
        <f>IF(ISNUMBER('Resol  Asuntos'!D14/NºAsuntos!G14),'Resol  Asuntos'!D14/NºAsuntos!G14," - ")</f>
        <v>0.18604651162790697</v>
      </c>
      <c r="E14" s="1158">
        <f>IF(ISNUMBER((NºAsuntos!C14+NºAsuntos!E14)/NºAsuntos!G14),(NºAsuntos!C14+NºAsuntos!E14)/NºAsuntos!G14," - ")</f>
        <v>4.4728682170542635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0.74846625766871167</v>
      </c>
      <c r="C17" s="498">
        <f>IF(ISNUMBER(NºAsuntos!I17/NºAsuntos!G17),NºAsuntos!I17/NºAsuntos!G17," - ")</f>
        <v>1.8524590163934427</v>
      </c>
      <c r="D17" s="499">
        <f>IF(ISNUMBER('Resol  Asuntos'!D17/NºAsuntos!G17),'Resol  Asuntos'!D17/NºAsuntos!G17," - ")</f>
        <v>0.15573770491803279</v>
      </c>
      <c r="E17" s="500">
        <f>IF(ISNUMBER((NºAsuntos!C17+NºAsuntos!E17)/NºAsuntos!G17),(NºAsuntos!C17+NºAsuntos!E17)/NºAsuntos!G17," - ")</f>
        <v>2.8524590163934427</v>
      </c>
      <c r="G17" s="523"/>
    </row>
    <row r="18" spans="1:7">
      <c r="A18" s="450" t="str">
        <f>Datos!A18</f>
        <v>Jdos. Violencia contra la mujer</v>
      </c>
      <c r="B18" s="497">
        <f>IF(ISNUMBER(NºAsuntos!G18/NºAsuntos!E18),NºAsuntos!G18/NºAsuntos!E18," - ")</f>
        <v>1.7272727272727273</v>
      </c>
      <c r="C18" s="498">
        <f>IF(ISNUMBER(NºAsuntos!I18/NºAsuntos!G18),NºAsuntos!I18/NºAsuntos!G18," - ")</f>
        <v>0.52631578947368418</v>
      </c>
      <c r="D18" s="499">
        <f>IF(ISNUMBER('Resol  Asuntos'!D18/NºAsuntos!G18),'Resol  Asuntos'!D18/NºAsuntos!G18," - ")</f>
        <v>0</v>
      </c>
      <c r="E18" s="500">
        <f>IF(ISNUMBER((NºAsuntos!C18+NºAsuntos!E18)/NºAsuntos!G18),(NºAsuntos!C18+NºAsuntos!E18)/NºAsuntos!G18," - ")</f>
        <v>1.5263157894736843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0.81034482758620685</v>
      </c>
      <c r="C23" s="1156">
        <f>IF(ISNUMBER(NºAsuntos!I23/NºAsuntos!G23),NºAsuntos!I23/NºAsuntos!G23," - ")</f>
        <v>1.6737588652482269</v>
      </c>
      <c r="D23" s="1159">
        <f>IF(ISNUMBER('Resol  Asuntos'!D23/NºAsuntos!G23),'Resol  Asuntos'!D23/NºAsuntos!G23," - ")</f>
        <v>0.13475177304964539</v>
      </c>
      <c r="E23" s="1158">
        <f>IF(ISNUMBER((NºAsuntos!C23+NºAsuntos!E23)/NºAsuntos!G23),(NºAsuntos!C23+NºAsuntos!E23)/NºAsuntos!G23," - ")</f>
        <v>2.6737588652482271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0.76271186440677963</v>
      </c>
      <c r="C31" s="1099">
        <f>IF(ISNUMBER(NºAsuntos!I31/NºAsuntos!G31),NºAsuntos!I31/NºAsuntos!G31," - ")</f>
        <v>2.5333333333333332</v>
      </c>
      <c r="D31" s="1100">
        <f>IF(ISNUMBER('Resol  Asuntos'!D31/NºAsuntos!G31),'Resol  Asuntos'!D31/NºAsuntos!G31," - ")</f>
        <v>0.15925925925925927</v>
      </c>
      <c r="E31" s="1101">
        <f>IF(ISNUMBER((NºAsuntos!C31+NºAsuntos!E31)/NºAsuntos!G31),(NºAsuntos!C31+NºAsuntos!E31)/NºAsuntos!G31," - ")</f>
        <v>3.5333333333333332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kAQh/qNRIcTu1AVlde/TA0TbQrHvVMHtYLiy40hkIS0qN1xDLyZETvyaW8K/sRtvrgUdO9RbZFZfNGcHQF3FQ==" saltValue="EuWTI9QvalTrhLttCHC/B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SEGOVIA</v>
      </c>
      <c r="N2" s="368" t="str">
        <f>Criterios!A11 &amp;"  "&amp;Criterios!B11</f>
        <v>Resumenes por Partidos Judiciales  SANTA MARIA LA REAL DE NIEVA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26</v>
      </c>
      <c r="Y12" s="374">
        <f t="shared" si="0"/>
        <v>26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812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24</v>
      </c>
      <c r="AJ12" s="243" t="str">
        <f>IF(ISNUMBER(Datos!BW12),Datos!BW12," - ")</f>
        <v xml:space="preserve"> - </v>
      </c>
      <c r="AK12" s="242" t="str">
        <f>IF(ISNUMBER(Datos!BX12),Datos!BX12," - ")</f>
        <v xml:space="preserve"> - </v>
      </c>
      <c r="AL12" s="266">
        <f>IF(ISNUMBER(NºAsuntos!G12/NºAsuntos!E12),NºAsuntos!G12/NºAsuntos!E12," - ")</f>
        <v>0.70949720670391059</v>
      </c>
      <c r="AM12" s="284">
        <f>IF(ISNUMBER(((NºAsuntos!I12/NºAsuntos!G12)*11)/factor_trimestre),((NºAsuntos!I12/NºAsuntos!G12)*11)/factor_trimestre," - ")</f>
        <v>10.582677165354331</v>
      </c>
      <c r="AN12" s="267">
        <f>IF(ISNUMBER('Resol  Asuntos'!D12/NºAsuntos!G12),'Resol  Asuntos'!D12/NºAsuntos!G12," - ")</f>
        <v>0.1889763779527559</v>
      </c>
      <c r="AO12" s="268">
        <f>IF(ISNUMBER((NºAsuntos!C12+NºAsuntos!E12)/NºAsuntos!G12),(NºAsuntos!C12+NºAsuntos!E12)/NºAsuntos!G12," - ")</f>
        <v>4.5275590551181102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26</v>
      </c>
      <c r="Y14" s="1165">
        <f t="shared" si="6"/>
        <v>28</v>
      </c>
      <c r="Z14" s="1165">
        <f t="shared" si="6"/>
        <v>0</v>
      </c>
      <c r="AA14" s="1165">
        <f t="shared" si="6"/>
        <v>0</v>
      </c>
      <c r="AB14" s="1165">
        <f t="shared" si="6"/>
        <v>812</v>
      </c>
      <c r="AC14" s="1165">
        <f t="shared" si="6"/>
        <v>0</v>
      </c>
      <c r="AD14" s="1165">
        <f t="shared" si="6"/>
        <v>0</v>
      </c>
      <c r="AE14" s="1169">
        <f t="shared" si="6"/>
        <v>0</v>
      </c>
      <c r="AF14" s="1162">
        <f t="shared" si="6"/>
        <v>0</v>
      </c>
      <c r="AG14" s="1170">
        <f t="shared" si="6"/>
        <v>0</v>
      </c>
      <c r="AH14" s="1167">
        <f t="shared" si="6"/>
        <v>0</v>
      </c>
      <c r="AI14" s="1162">
        <f t="shared" si="6"/>
        <v>24</v>
      </c>
      <c r="AJ14" s="1164">
        <f t="shared" si="6"/>
        <v>0</v>
      </c>
      <c r="AK14" s="1167">
        <f>SUBTOTAL(9,AK9:AK13)</f>
        <v>0</v>
      </c>
      <c r="AL14" s="1171">
        <f>IF(ISNUMBER(NºAsuntos!G14/NºAsuntos!E14),NºAsuntos!G14/NºAsuntos!E14," - ")</f>
        <v>0.71666666666666667</v>
      </c>
      <c r="AM14" s="1171">
        <f>IF(ISNUMBER(((NºAsuntos!I14/NºAsuntos!G14)*11)/factor_trimestre),((NºAsuntos!I14/NºAsuntos!G14)*11)/factor_trimestre," - ")</f>
        <v>10.41860465116279</v>
      </c>
      <c r="AN14" s="1172">
        <f>IF(ISNUMBER('Resol  Asuntos'!D14/NºAsuntos!G14),'Resol  Asuntos'!D14/NºAsuntos!G14," - ")</f>
        <v>0.18604651162790697</v>
      </c>
      <c r="AO14" s="1173">
        <f>IF(ISNUMBER((NºAsuntos!C14+NºAsuntos!E14)/NºAsuntos!G14),(NºAsuntos!C14+NºAsuntos!E14)/NºAsuntos!G14," - ")</f>
        <v>4.4728682170542635</v>
      </c>
      <c r="AP14" s="1174" t="str">
        <f t="shared" si="2"/>
        <v xml:space="preserve"> - </v>
      </c>
      <c r="AQ14" s="1174">
        <f>IF(ISNUMBER((H14-W14+K14)/(F14)),(H14-W14+K14)/(F14)," - ")</f>
        <v>-2</v>
      </c>
      <c r="AR14" s="1175">
        <f>IF(ISNUMBER((Datos!P14-Datos!Q14)/(Datos!R14-Datos!P14+Datos!Q14)),(Datos!P14-Datos!Q14)/(Datos!R14-Datos!P14+Datos!Q14)," - ")</f>
        <v>3.4394904458598725E-2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185</v>
      </c>
      <c r="G17" s="373">
        <f>IF(ISNUMBER(IF(D_I="SI",Datos!I17,Datos!I17+Datos!AC17)),IF(D_I="SI",Datos!I17,Datos!I17+Datos!AC17)," - ")</f>
        <v>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122</v>
      </c>
      <c r="X17" s="240">
        <f>IF(ISNUMBER(Datos!Q17),Datos!Q17," - ")</f>
        <v>0</v>
      </c>
      <c r="Y17" s="374">
        <f t="shared" ref="Y17:Y22" si="9">SUM(W17:X17)</f>
        <v>122</v>
      </c>
      <c r="Z17" s="375" t="str">
        <f>IF(ISNUMBER(Datos!CC17),Datos!CC17," - ")</f>
        <v xml:space="preserve"> - </v>
      </c>
      <c r="AA17" s="372">
        <f>IF(ISNUMBER(IF(D_I="SI",Datos!L17,Datos!L17+Datos!AF17)),IF(D_I="SI",Datos!L17,Datos!L17+Datos!AF17)," - ")</f>
        <v>226</v>
      </c>
      <c r="AB17" s="374">
        <f>IF(ISNUMBER(Datos!R17),Datos!R17," - ")</f>
        <v>26</v>
      </c>
      <c r="AC17" s="374">
        <f t="shared" si="8"/>
        <v>252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19</v>
      </c>
      <c r="AJ17" s="245" t="str">
        <f>IF(ISNUMBER(Datos!BW17),Datos!BW17," - ")</f>
        <v xml:space="preserve"> - </v>
      </c>
      <c r="AK17" s="246" t="str">
        <f>IF(ISNUMBER(Datos!BX17),Datos!BX17," - ")</f>
        <v xml:space="preserve"> - </v>
      </c>
      <c r="AL17" s="266">
        <f>IF(ISNUMBER(NºAsuntos!G17/NºAsuntos!E17),NºAsuntos!G17/NºAsuntos!E17," - ")</f>
        <v>0.74846625766871167</v>
      </c>
      <c r="AM17" s="284">
        <f>IF(ISNUMBER(((NºAsuntos!I17/NºAsuntos!G17)*11)/factor_trimestre),((NºAsuntos!I17/NºAsuntos!G17)*11)/factor_trimestre," - ")</f>
        <v>5.557377049180328</v>
      </c>
      <c r="AN17" s="267">
        <f>IF(ISNUMBER('Resol  Asuntos'!D17/NºAsuntos!G17),'Resol  Asuntos'!D17/NºAsuntos!G17," - ")</f>
        <v>0.15573770491803279</v>
      </c>
      <c r="AO17" s="268">
        <f>IF(ISNUMBER((NºAsuntos!C17+NºAsuntos!E17)/NºAsuntos!G17),(NºAsuntos!C17+NºAsuntos!E17)/NºAsuntos!G17," - ")</f>
        <v>2.8524590163934427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1.7272727272727273</v>
      </c>
      <c r="AM18" s="284">
        <f>IF(ISNUMBER(((NºAsuntos!I18/NºAsuntos!G18)*11)/factor_trimestre),((NºAsuntos!I18/NºAsuntos!G18)*11)/factor_trimestre," - ")</f>
        <v>1.5789473684210524</v>
      </c>
      <c r="AN18" s="267">
        <f>IF(ISNUMBER('Resol  Asuntos'!D18/NºAsuntos!G18),'Resol  Asuntos'!D18/NºAsuntos!G18," - ")</f>
        <v>0</v>
      </c>
      <c r="AO18" s="268">
        <f>IF(ISNUMBER((NºAsuntos!C18+NºAsuntos!E18)/NºAsuntos!G18),(NºAsuntos!C18+NºAsuntos!E18)/NºAsuntos!G18," - ")</f>
        <v>1.5263157894736843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185</v>
      </c>
      <c r="G23" s="1163">
        <f>SUBTOTAL(9,G16:G22)</f>
        <v>203</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141</v>
      </c>
      <c r="X23" s="1164">
        <f t="shared" si="14"/>
        <v>0</v>
      </c>
      <c r="Y23" s="1165">
        <f t="shared" si="14"/>
        <v>141</v>
      </c>
      <c r="Z23" s="1165">
        <f t="shared" si="14"/>
        <v>0</v>
      </c>
      <c r="AA23" s="1165">
        <f t="shared" si="14"/>
        <v>236</v>
      </c>
      <c r="AB23" s="1165">
        <f t="shared" si="14"/>
        <v>26</v>
      </c>
      <c r="AC23" s="1165">
        <f t="shared" si="14"/>
        <v>262</v>
      </c>
      <c r="AD23" s="1165">
        <f t="shared" si="14"/>
        <v>0</v>
      </c>
      <c r="AE23" s="1169">
        <f t="shared" si="14"/>
        <v>0</v>
      </c>
      <c r="AF23" s="1162">
        <f t="shared" si="14"/>
        <v>0</v>
      </c>
      <c r="AG23" s="1170">
        <f t="shared" si="14"/>
        <v>0</v>
      </c>
      <c r="AH23" s="1167">
        <f t="shared" si="14"/>
        <v>0</v>
      </c>
      <c r="AI23" s="1162">
        <f t="shared" si="14"/>
        <v>19</v>
      </c>
      <c r="AJ23" s="1164">
        <f t="shared" si="14"/>
        <v>0</v>
      </c>
      <c r="AK23" s="1167">
        <f t="shared" si="14"/>
        <v>0</v>
      </c>
      <c r="AL23" s="1171">
        <f>IF(ISNUMBER(NºAsuntos!G23/NºAsuntos!E23),NºAsuntos!G23/NºAsuntos!E23," - ")</f>
        <v>0.81034482758620685</v>
      </c>
      <c r="AM23" s="1171">
        <f>IF(ISNUMBER(((NºAsuntos!I23/NºAsuntos!G23)*11)/factor_trimestre),((NºAsuntos!I23/NºAsuntos!G23)*11)/factor_trimestre," - ")</f>
        <v>5.0212765957446814</v>
      </c>
      <c r="AN23" s="1172">
        <f>IF(ISNUMBER('Resol  Asuntos'!D23/NºAsuntos!G23),'Resol  Asuntos'!D23/NºAsuntos!G23," - ")</f>
        <v>0.13475177304964539</v>
      </c>
      <c r="AO23" s="1173">
        <f>IF(ISNUMBER((NºAsuntos!C23+NºAsuntos!E23)/NºAsuntos!G23),(NºAsuntos!C23+NºAsuntos!E23)/NºAsuntos!G23," - ")</f>
        <v>2.6737588652482271</v>
      </c>
      <c r="AP23" s="1174" t="str">
        <f t="shared" si="2"/>
        <v xml:space="preserve"> - </v>
      </c>
      <c r="AQ23" s="1174">
        <f>IF(ISNUMBER((H23-W23+K23)/(F23)),(H23-W23+K23)/(F23)," - ")</f>
        <v>-0.76216216216216215</v>
      </c>
      <c r="AR23" s="1175">
        <f>IF(ISNUMBER((Datos!P23-Datos!Q23)/(Datos!R23-Datos!P23+Datos!Q23)),(Datos!P23-Datos!Q23)/(Datos!R23-Datos!P23+Datos!Q23)," - ")</f>
        <v>0.44444444444444442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186</v>
      </c>
      <c r="G31" s="1118">
        <f t="shared" si="20"/>
        <v>204</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143</v>
      </c>
      <c r="X31" s="1118">
        <f t="shared" si="21"/>
        <v>26</v>
      </c>
      <c r="Y31" s="1125">
        <f t="shared" si="21"/>
        <v>169</v>
      </c>
      <c r="Z31" s="1125">
        <f t="shared" si="21"/>
        <v>0</v>
      </c>
      <c r="AA31" s="1125">
        <f t="shared" si="21"/>
        <v>236</v>
      </c>
      <c r="AB31" s="1125">
        <f t="shared" si="21"/>
        <v>838</v>
      </c>
      <c r="AC31" s="1125">
        <f t="shared" si="21"/>
        <v>262</v>
      </c>
      <c r="AD31" s="1125">
        <f t="shared" si="21"/>
        <v>0</v>
      </c>
      <c r="AE31" s="1127">
        <f t="shared" si="21"/>
        <v>0</v>
      </c>
      <c r="AF31" s="1128">
        <f t="shared" si="21"/>
        <v>0</v>
      </c>
      <c r="AG31" s="1129">
        <f t="shared" si="21"/>
        <v>0</v>
      </c>
      <c r="AH31" s="1127">
        <f t="shared" si="21"/>
        <v>0</v>
      </c>
      <c r="AI31" s="1117">
        <f t="shared" si="21"/>
        <v>43</v>
      </c>
      <c r="AJ31" s="1117">
        <f t="shared" si="21"/>
        <v>0</v>
      </c>
      <c r="AK31" s="1127">
        <f t="shared" si="21"/>
        <v>0</v>
      </c>
      <c r="AL31" s="1183">
        <f>IF(ISNUMBER(NºAsuntos!G31/NºAsuntos!E31),NºAsuntos!G31/NºAsuntos!E31," - ")</f>
        <v>0.76271186440677963</v>
      </c>
      <c r="AM31" s="1184">
        <f>IF(ISNUMBER(((NºAsuntos!I31/NºAsuntos!G31)*11)/factor_trimestre),((NºAsuntos!I31/NºAsuntos!G31)*11)/factor_trimestre," - ")</f>
        <v>7.6000000000000005</v>
      </c>
      <c r="AN31" s="1184">
        <f>IF(ISNUMBER('Resol  Asuntos'!D31/NºAsuntos!G31),'Resol  Asuntos'!D31/NºAsuntos!G31," - ")</f>
        <v>0.15925925925925927</v>
      </c>
      <c r="AO31" s="1185">
        <f>IF(ISNUMBER((NºAsuntos!C31+NºAsuntos!E31)/NºAsuntos!G31),(NºAsuntos!C31+NºAsuntos!E31)/NºAsuntos!G31," - ")</f>
        <v>3.5333333333333332</v>
      </c>
      <c r="AP31" s="1186" t="str">
        <f t="shared" si="2"/>
        <v xml:space="preserve"> - </v>
      </c>
      <c r="AQ31" s="1187">
        <f>IF(OR(ISNUMBER(FIND("01",Criterios!A8,1)),ISNUMBER(FIND("02",Criterios!A8,1)),ISNUMBER(FIND("03",Criterios!A8,1)),ISNUMBER(FIND("04",Criterios!A8,1))),(I31-W31+K31)/(F31-K31),(H31-W31+K31)/(F31-K31))</f>
        <v>-0.76881720430107525</v>
      </c>
      <c r="AR31" s="1188">
        <f>IF(ISNUMBER((Datos!P31-Datos!Q31)/(Datos!R31-Datos!P31+Datos!Q31)),(Datos!P31-Datos!Q31)/(Datos!R31-Datos!P31+Datos!Q31)," - ")</f>
        <v>4.3586550435865505E-2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95.276439899903906</v>
      </c>
      <c r="G33" s="277">
        <f>IF(ISNUMBER(STDEV(G8:G30)),STDEV(G8:G30),"-")</f>
        <v>93.076517421087985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62.515141023138206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11.646581350029592</v>
      </c>
      <c r="AJ33" s="276">
        <f t="shared" si="25"/>
        <v>0</v>
      </c>
      <c r="AK33" s="278">
        <f t="shared" si="25"/>
        <v>0</v>
      </c>
      <c r="AL33" s="273">
        <f t="shared" si="25"/>
        <v>0.58451417732482391</v>
      </c>
      <c r="AM33" s="274">
        <f t="shared" si="25"/>
        <v>4.3790225747888156</v>
      </c>
      <c r="AN33" s="274">
        <f t="shared" si="25"/>
        <v>8.822682557995852E-2</v>
      </c>
      <c r="AO33" s="275">
        <f t="shared" si="25"/>
        <v>1.459674191596271</v>
      </c>
      <c r="AP33" s="317" t="str">
        <f t="shared" si="25"/>
        <v>-</v>
      </c>
      <c r="AQ33" s="318">
        <f t="shared" si="25"/>
        <v>0.87528352914442942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lGSe/j1CDTWc7Xzc12Qvq75RFDJzt9PiuhKLsVTOSOeGPLdheMhgxXbxHZr2JPjke0hSXw+APklkT53xCmeg1Q==" saltValue="B6WHjhtbcipYllHwdANd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SEGOVIA</v>
      </c>
      <c r="E3" s="287"/>
    </row>
    <row r="4" spans="2:20" ht="17.25" customHeight="1" thickBot="1">
      <c r="D4" s="286" t="str">
        <f>Criterios!A11 &amp;"  "&amp;Criterios!B11</f>
        <v>Resumenes por Partidos Judiciales  SANTA MARIA LA REAL DE NIEVA</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-0.17241379310344829</v>
      </c>
      <c r="I12" s="395">
        <f>IF(ISNUMBER((Tasas!C12-Datos!BE12)/Datos!BE12),(Tasas!C12-Datos!BE12)/Datos!BE12," - ")</f>
        <v>0.65214791189076049</v>
      </c>
      <c r="J12" s="394">
        <f>IF(ISNUMBER((Tasas!D12-Datos!BF12)/Datos!BF12),(Tasas!D12-Datos!BF12)/Datos!BF12," - ")</f>
        <v>-0.44799005387484458</v>
      </c>
      <c r="K12" s="396">
        <f>IF(ISNUMBER((Tasas!E12-Datos!BG12)/Datos!BG12),(Tasas!E12-Datos!BG12)/Datos!BG12," - ")</f>
        <v>0.6056199844029081</v>
      </c>
      <c r="M12" t="e">
        <f>IF(Monitorios="SI",Datos!CE12,0)</f>
        <v>#REF!</v>
      </c>
      <c r="N12" t="e">
        <f>IF(Monitorios="SI",Datos!CF12,0)</f>
        <v>#REF!</v>
      </c>
      <c r="O12" t="e">
        <f>IF(Monitorios="SI",Datos!CG12,0)</f>
        <v>#REF!</v>
      </c>
      <c r="P12" t="e">
        <f>IF(Monitorios="SI",Datos!CH12,0)</f>
        <v>#REF!</v>
      </c>
      <c r="Q12">
        <f>IF(J_V="SI",0,Datos!AG12)</f>
        <v>20</v>
      </c>
      <c r="R12">
        <f>IF(J_V="SI",0,Datos!AH12)</f>
        <v>9</v>
      </c>
      <c r="S12">
        <f>IF(J_V="SI",0,Datos!AI12)</f>
        <v>13</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-0.17241379310344829</v>
      </c>
      <c r="I14" s="402">
        <f>IF(ISNUMBER((Tasas!C14-Datos!BE14)/Datos!BE14),(Tasas!C14-Datos!BE14)/Datos!BE14," - ")</f>
        <v>0.61969904240766083</v>
      </c>
      <c r="J14" s="400">
        <f>IF(ISNUMBER((Tasas!D14-Datos!BF14)/Datos!BF14),(Tasas!D14-Datos!BF14)/Datos!BF14," - ")</f>
        <v>-0.45654834761321911</v>
      </c>
      <c r="K14" s="403">
        <f>IF(ISNUMBER((Tasas!E14-Datos!BG14)/Datos!BG14),(Tasas!E14-Datos!BG14)/Datos!BG14," - ")</f>
        <v>0.58117315953192117</v>
      </c>
      <c r="M14" t="e">
        <f>IF(Monitorios="SI",Datos!CE14,0)</f>
        <v>#REF!</v>
      </c>
      <c r="N14" t="e">
        <f>IF(Monitorios="SI",Datos!CF14,0)</f>
        <v>#REF!</v>
      </c>
      <c r="O14" t="e">
        <f>IF(Monitorios="SI",Datos!CG14,0)</f>
        <v>#REF!</v>
      </c>
      <c r="P14" t="e">
        <f>IF(Monitorios="SI",Datos!CH14,0)</f>
        <v>#REF!</v>
      </c>
      <c r="Q14">
        <f>IF(J_V="SI",0,Datos!AG14)</f>
        <v>20</v>
      </c>
      <c r="R14">
        <f>IF(J_V="SI",0,Datos!AH14)</f>
        <v>9</v>
      </c>
      <c r="S14">
        <f>IF(J_V="SI",0,Datos!AI14)</f>
        <v>13</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1.6483516483516484E-2</v>
      </c>
      <c r="E17" s="393">
        <f>IF(ISNUMBER(
   IF(D_I="SI",(Datos!J17-Datos!T17)/Datos!T17,(Datos!J17+Datos!AD17-(Datos!T17+Datos!AL17))/(Datos!T17+Datos!AL17))
     ),IF(D_I="SI",(Datos!J17-Datos!T17)/Datos!T17,(Datos!J17+Datos!AD17-(Datos!T17+Datos!AL17))/(Datos!T17+Datos!AL17))," - ")</f>
        <v>0.55238095238095242</v>
      </c>
      <c r="F17" s="393">
        <f>IF(ISNUMBER(
   IF(D_I="SI",(Datos!K17-Datos!U17)/Datos!U17,(Datos!K17+Datos!AE17-(Datos!U17+Datos!AM17))/(Datos!U17+Datos!AM17))
     ),IF(D_I="SI",(Datos!K17-Datos!U17)/Datos!U17,(Datos!K17+Datos!AE17-(Datos!U17+Datos!AM17))/(Datos!U17+Datos!AM17))," - ")</f>
        <v>2.5210084033613446E-2</v>
      </c>
      <c r="G17" s="394">
        <f>IF(ISNUMBER(
   IF(D_I="SI",(Datos!L17-Datos!V17)/Datos!V17,(Datos!L17+Datos!AF17-(Datos!V17+Datos!AN17))/(Datos!V17+Datos!AN17))
     ),IF(D_I="SI",(Datos!L17-Datos!V17)/Datos!V17,(Datos!L17+Datos!AF17-(Datos!V17+Datos!AN17))/(Datos!V17+Datos!AN17))," - ")</f>
        <v>0.30635838150289019</v>
      </c>
      <c r="H17" s="244">
        <f>IF(ISNUMBER((Datos!M17-Datos!W17)/Datos!W17),(Datos!M17-Datos!W17)/Datos!W17," - ")</f>
        <v>0.11764705882352941</v>
      </c>
      <c r="I17" s="395">
        <f>IF(ISNUMBER((Tasas!C17-Datos!BE17)/Datos!BE17),(Tasas!C17-Datos!BE17)/Datos!BE17," - ")</f>
        <v>0.27423481474462247</v>
      </c>
      <c r="J17" s="394">
        <f>IF(ISNUMBER((Tasas!D17-Datos!BF17)/Datos!BF17),(Tasas!D17-Datos!BF17)/Datos!BF17," - ")</f>
        <v>9.0163934426229608E-2</v>
      </c>
      <c r="K17" s="396">
        <f>IF(ISNUMBER((Tasas!E17-Datos!BG17)/Datos!BG17),(Tasas!E17-Datos!BG17)/Datos!BG17," - ")</f>
        <v>0.18272690923630558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0.38461538461538464</v>
      </c>
      <c r="E18" s="393">
        <f>IF(ISNUMBER(
   IF(D_I="SI",(Datos!J18-Datos!T18)/Datos!T18,(Datos!J18+Datos!AD18-(Datos!T18+Datos!AL18))/(Datos!T18+Datos!AL18))
     ),IF(D_I="SI",(Datos!J18-Datos!T18)/Datos!T18,(Datos!J18+Datos!AD18-(Datos!T18+Datos!AL18))/(Datos!T18+Datos!AL18))," - ")</f>
        <v>0.375</v>
      </c>
      <c r="F18" s="393">
        <f>IF(ISNUMBER(
   IF(D_I="SI",(Datos!K18-Datos!U18)/Datos!U18,(Datos!K18+Datos!AE18-(Datos!U18+Datos!AM18))/(Datos!U18+Datos!AM18))
     ),IF(D_I="SI",(Datos!K18-Datos!U18)/Datos!U18,(Datos!K18+Datos!AE18-(Datos!U18+Datos!AM18))/(Datos!U18+Datos!AM18))," - ")</f>
        <v>2.1666666666666665</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-1</v>
      </c>
      <c r="I18" s="395">
        <f>IF(ISNUMBER((Tasas!C18-Datos!BE18)/Datos!BE18),(Tasas!C18-Datos!BE18)/Datos!BE18," - ")</f>
        <v>-0.78947368421052633</v>
      </c>
      <c r="J18" s="394">
        <f>IF(ISNUMBER((Tasas!D18-Datos!BF18)/Datos!BF18),(Tasas!D18-Datos!BF18)/Datos!BF18," - ")</f>
        <v>-1</v>
      </c>
      <c r="K18" s="396">
        <f>IF(ISNUMBER((Tasas!E18-Datos!BG18)/Datos!BG18),(Tasas!E18-Datos!BG18)/Datos!BG18," - ")</f>
        <v>-0.56390977443609025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4.1025641025641026E-2</v>
      </c>
      <c r="E23" s="399">
        <f>IF(ISNUMBER(
   IF(D_I="SI",(Datos!J23-Datos!T23)/Datos!T23,(Datos!J23+Datos!AD23-(Datos!T23+Datos!AL23))/(Datos!T23+Datos!AL23))
     ),IF(D_I="SI",(Datos!J23-Datos!T23)/Datos!T23,(Datos!J23+Datos!AD23-(Datos!T23+Datos!AL23))/(Datos!T23+Datos!AL23))," - ")</f>
        <v>0.53982300884955747</v>
      </c>
      <c r="F23" s="399">
        <f>IF(ISNUMBER(
   IF(D_I="SI",(Datos!K23-Datos!U23)/Datos!U23,(Datos!K23+Datos!AE23-(Datos!U23+Datos!AM23))/(Datos!U23+Datos!AM23))
     ),IF(D_I="SI",(Datos!K23-Datos!U23)/Datos!U23,(Datos!K23+Datos!AE23-(Datos!U23+Datos!AM23))/(Datos!U23+Datos!AM23))," - ")</f>
        <v>0.128</v>
      </c>
      <c r="G23" s="400">
        <f>IF(ISNUMBER(
   IF(D_I="SI",(Datos!L23-Datos!V23)/Datos!V23,(Datos!L23+Datos!AF23-(Datos!V23+Datos!AN23))/(Datos!V23+Datos!AN23))
     ),IF(D_I="SI",(Datos!L23-Datos!V23)/Datos!V23,(Datos!L23+Datos!AF23-(Datos!V23+Datos!AN23))/(Datos!V23+Datos!AN23))," - ")</f>
        <v>0.25531914893617019</v>
      </c>
      <c r="H23" s="401">
        <f>IF(ISNUMBER((Datos!M23-Datos!W23)/Datos!W23),(Datos!M23-Datos!W23)/Datos!W23," - ")</f>
        <v>5.5555555555555552E-2</v>
      </c>
      <c r="I23" s="402">
        <f>IF(ISNUMBER((Tasas!C23-Datos!BE23)/Datos!BE23),(Tasas!C23-Datos!BE23)/Datos!BE23," - ")</f>
        <v>0.11287158593632109</v>
      </c>
      <c r="J23" s="400">
        <f>IF(ISNUMBER((Tasas!D23-Datos!BF23)/Datos!BF23),(Tasas!D23-Datos!BF23)/Datos!BF23," - ")</f>
        <v>-6.4223798266351384E-2</v>
      </c>
      <c r="K23" s="403">
        <f>IF(ISNUMBER((Tasas!E23-Datos!BG23)/Datos!BG23),(Tasas!E23-Datos!BG23)/Datos!BG23," - ")</f>
        <v>8.5129409597494793E-2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0.45278450363196127</v>
      </c>
      <c r="E31" s="409">
        <f>IF(ISNUMBER(
   IF(J_V="SI",(Datos!J31-Datos!T31)/Datos!T31,(Datos!J31+Datos!Z31-(Datos!T31+Datos!AH31))/(Datos!T31+Datos!AH31))
     ),IF(J_V="SI",(Datos!J31-Datos!T31)/Datos!T31,(Datos!J31+Datos!Z31-(Datos!T31+Datos!AH31))/(Datos!T31+Datos!AH31))," - ")</f>
        <v>0.69377990430622005</v>
      </c>
      <c r="F31" s="409">
        <f>IF(ISNUMBER(
   IF(J_V="SI",(Datos!K31-Datos!U31)/Datos!U31,(Datos!K31+Datos!AA31-(Datos!U31+Datos!AI31))/(Datos!U31+Datos!AI31))
     ),IF(J_V="SI",(Datos!K31-Datos!U31)/Datos!U31,(Datos!K31+Datos!AA31-(Datos!U31+Datos!AI31))/(Datos!U31+Datos!AI31))," - ")</f>
        <v>0.1440677966101695</v>
      </c>
      <c r="G31" s="410">
        <f>IF(ISNUMBER(
   IF(J_V="SI",(Datos!L31-Datos!V31)/Datos!V31,(Datos!L31+Datos!AB31-(Datos!V31+Datos!AJ31))/(Datos!V31+Datos!AJ31))
     ),IF(J_V="SI",(Datos!L31-Datos!V31)/Datos!V31,(Datos!L31+Datos!AB31-(Datos!V31+Datos!AJ31))/(Datos!V31+Datos!AJ31))," - ")</f>
        <v>0.60563380281690138</v>
      </c>
      <c r="H31" s="411">
        <f>IF(ISNUMBER((Datos!M31-Datos!W31)/Datos!W31),(Datos!M31-Datos!W31)/Datos!W31," - ")</f>
        <v>-8.5106382978723402E-2</v>
      </c>
      <c r="I31" s="408">
        <f>IF(ISNUMBER((Tasas!C31-Datos!BE31)/Datos!BE31),(Tasas!C31-Datos!BE31)/Datos!BE31," - ")</f>
        <v>0.40344287949921742</v>
      </c>
      <c r="J31" s="409">
        <f>IF(ISNUMBER((Tasas!D31-Datos!BF31)/Datos!BF31),(Tasas!D31-Datos!BF31)/Datos!BF31," - ")</f>
        <v>-0.32883597883597881</v>
      </c>
      <c r="K31" s="410">
        <f>IF(ISNUMBER((Tasas!E31-Datos!BG31)/Datos!BG31),(Tasas!E31-Datos!BG31)/Datos!BG31," - ")</f>
        <v>0.34062165058949617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0.18349866115120872</v>
      </c>
      <c r="E33" s="303">
        <f t="shared" si="1"/>
        <v>9.8985123848260442E-2</v>
      </c>
      <c r="F33" s="303">
        <f t="shared" si="1"/>
        <v>1.2077916376528273</v>
      </c>
      <c r="G33" s="304">
        <f t="shared" si="1"/>
        <v>0.61136221323275852</v>
      </c>
      <c r="H33" s="310">
        <f t="shared" si="1"/>
        <v>0.44772739121742561</v>
      </c>
      <c r="I33" s="302">
        <f t="shared" si="1"/>
        <v>0.58509363548904136</v>
      </c>
      <c r="J33" s="303">
        <f t="shared" si="1"/>
        <v>0.42295372823611205</v>
      </c>
      <c r="K33" s="304">
        <f t="shared" si="1"/>
        <v>0.47552201364300106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VMxq91skJ2bT2F8awKv/z6k23YHW/H6cnQkriD1516z1KRurwoq32u9mgXXR7jEuhwVAHE7ujsBndoVJff0Xw==" saltValue="+odYiicLy61yz3iQ5LNDE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